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drawings/drawing7.xml" ContentType="application/vnd.openxmlformats-officedocument.drawing+xml"/>
  <Override PartName="/xl/tables/table6.xml" ContentType="application/vnd.openxmlformats-officedocument.spreadsheetml.table+xml"/>
  <Override PartName="/xl/drawings/drawing8.xml" ContentType="application/vnd.openxmlformats-officedocument.drawing+xml"/>
  <Override PartName="/xl/tables/table7.xml" ContentType="application/vnd.openxmlformats-officedocument.spreadsheetml.table+xml"/>
  <Override PartName="/xl/drawings/drawing9.xml" ContentType="application/vnd.openxmlformats-officedocument.drawing+xml"/>
  <Override PartName="/xl/tables/table8.xml" ContentType="application/vnd.openxmlformats-officedocument.spreadsheetml.table+xml"/>
  <Override PartName="/xl/drawings/drawing10.xml" ContentType="application/vnd.openxmlformats-officedocument.drawing+xml"/>
  <Override PartName="/xl/tables/table9.xml" ContentType="application/vnd.openxmlformats-officedocument.spreadsheetml.table+xml"/>
  <Override PartName="/xl/drawings/drawing11.xml" ContentType="application/vnd.openxmlformats-officedocument.drawing+xml"/>
  <Override PartName="/xl/tables/table10.xml" ContentType="application/vnd.openxmlformats-officedocument.spreadsheetml.table+xml"/>
  <Override PartName="/xl/drawings/drawing12.xml" ContentType="application/vnd.openxmlformats-officedocument.drawing+xml"/>
  <Override PartName="/xl/tables/table11.xml" ContentType="application/vnd.openxmlformats-officedocument.spreadsheetml.table+xml"/>
  <Override PartName="/xl/drawings/drawing13.xml" ContentType="application/vnd.openxmlformats-officedocument.drawing+xml"/>
  <Override PartName="/xl/tables/table12.xml" ContentType="application/vnd.openxmlformats-officedocument.spreadsheetml.table+xml"/>
  <Override PartName="/xl/drawings/drawing14.xml" ContentType="application/vnd.openxmlformats-officedocument.drawing+xml"/>
  <Override PartName="/xl/tables/table13.xml" ContentType="application/vnd.openxmlformats-officedocument.spreadsheetml.table+xml"/>
  <Override PartName="/xl/drawings/drawing15.xml" ContentType="application/vnd.openxmlformats-officedocument.drawing+xml"/>
  <Override PartName="/xl/tables/table14.xml" ContentType="application/vnd.openxmlformats-officedocument.spreadsheetml.table+xml"/>
  <Override PartName="/xl/drawings/drawing16.xml" ContentType="application/vnd.openxmlformats-officedocument.drawing+xml"/>
  <Override PartName="/xl/tables/table15.xml" ContentType="application/vnd.openxmlformats-officedocument.spreadsheetml.table+xml"/>
  <Override PartName="/xl/drawings/drawing17.xml" ContentType="application/vnd.openxmlformats-officedocument.drawing+xml"/>
  <Override PartName="/xl/tables/table16.xml" ContentType="application/vnd.openxmlformats-officedocument.spreadsheetml.table+xml"/>
  <Override PartName="/xl/drawings/drawing18.xml" ContentType="application/vnd.openxmlformats-officedocument.drawing+xml"/>
  <Override PartName="/xl/tables/table17.xml" ContentType="application/vnd.openxmlformats-officedocument.spreadsheetml.table+xml"/>
  <Override PartName="/xl/drawings/drawing19.xml" ContentType="application/vnd.openxmlformats-officedocument.drawing+xml"/>
  <Override PartName="/xl/tables/table18.xml" ContentType="application/vnd.openxmlformats-officedocument.spreadsheetml.table+xml"/>
  <Override PartName="/xl/drawings/drawing20.xml" ContentType="application/vnd.openxmlformats-officedocument.drawing+xml"/>
  <Override PartName="/xl/tables/table19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ata &amp; Statistics Unit (razan alzuhair)\Statistical Bulletin\2025\Q4\Final\excel\"/>
    </mc:Choice>
  </mc:AlternateContent>
  <xr:revisionPtr revIDLastSave="0" documentId="8_{8ED0FADA-E9FF-46BD-9B7A-F42F10C07E59}" xr6:coauthVersionLast="47" xr6:coauthVersionMax="47" xr10:uidLastSave="{00000000-0000-0000-0000-000000000000}"/>
  <bookViews>
    <workbookView showHorizontalScroll="0" showVerticalScroll="0" xWindow="4305" yWindow="3420" windowWidth="14400" windowHeight="7305" tabRatio="924" firstSheet="16" activeTab="19" xr2:uid="{00000000-000D-0000-FFFF-FFFF00000000}"/>
  </bookViews>
  <sheets>
    <sheet name="الأسهم" sheetId="34" r:id="rId1"/>
    <sheet name="مؤشرات سوق الأسهم الرئيسية" sheetId="3" r:id="rId2"/>
    <sheet name="مؤشرات سوق الأسهم - نمو" sheetId="95" r:id="rId3"/>
    <sheet name="المؤشرات المالية لسوق الأسهم" sheetId="52" r:id="rId4"/>
    <sheet name="إجمالي الإيرادات - تاسي" sheetId="109" r:id="rId5"/>
    <sheet name="صافي الدخل - تاسي" sheetId="54" r:id="rId6"/>
    <sheet name="حقوق المساهمين - تاسي" sheetId="55" r:id="rId7"/>
    <sheet name="إجمالي الأصول - تاسي" sheetId="56" r:id="rId8"/>
    <sheet name="اجمالي الدين - تاسي" sheetId="50" r:id="rId9"/>
    <sheet name=" إجمالي الإيرادات - نمو" sheetId="53" r:id="rId10"/>
    <sheet name="صافي الدخل - نمو" sheetId="111" r:id="rId11"/>
    <sheet name="إجمالي حقوق المساهمين - نمو" sheetId="112" r:id="rId12"/>
    <sheet name="إجمالي الأصول - نمو" sheetId="113" r:id="rId13"/>
    <sheet name="إجمالي الدين - نمو" sheetId="114" r:id="rId14"/>
    <sheet name=" عدد محافظ الأفراد - تاسي" sheetId="4" r:id="rId15"/>
    <sheet name=" قيم ونسب الملكية - تاسي" sheetId="5" r:id="rId16"/>
    <sheet name="قيم ونسب الملكية حسب السلوك" sheetId="6" r:id="rId17"/>
    <sheet name="قيم ونسب التداولات - تاسي" sheetId="7" r:id="rId18"/>
    <sheet name="قيم ونسب التداولات حسب السلوك" sheetId="8" r:id="rId19"/>
    <sheet name="التداولات خارج المنصة" sheetId="116" r:id="rId20"/>
  </sheets>
  <definedNames>
    <definedName name="_xlnm._FilterDatabase" localSheetId="0" hidden="1">الأسهم!$C$8:$C$33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91" i="5" l="1"/>
  <c r="R90" i="5"/>
  <c r="G26" i="116"/>
  <c r="H26" i="116"/>
  <c r="D85" i="6"/>
  <c r="Q88" i="5"/>
  <c r="P88" i="5"/>
  <c r="O88" i="5"/>
  <c r="N88" i="5"/>
  <c r="M88" i="5"/>
  <c r="L88" i="5"/>
  <c r="K88" i="5"/>
  <c r="J88" i="5"/>
  <c r="I88" i="5"/>
  <c r="H88" i="5"/>
  <c r="G88" i="5"/>
  <c r="F88" i="5"/>
  <c r="E88" i="5"/>
  <c r="D88" i="5"/>
  <c r="C88" i="5"/>
  <c r="B88" i="5"/>
  <c r="D30" i="95"/>
  <c r="C30" i="95"/>
  <c r="R88" i="5" l="1"/>
  <c r="J89" i="5" s="1"/>
  <c r="I89" i="5" l="1"/>
  <c r="F89" i="5"/>
  <c r="M89" i="5"/>
  <c r="E89" i="5"/>
  <c r="D89" i="5"/>
  <c r="B89" i="5"/>
  <c r="O89" i="5"/>
  <c r="G89" i="5"/>
  <c r="C89" i="5"/>
  <c r="P89" i="5"/>
  <c r="K89" i="5"/>
  <c r="H89" i="5"/>
  <c r="Q89" i="5"/>
  <c r="N89" i="5"/>
  <c r="L89" i="5"/>
  <c r="R89" i="5" l="1"/>
  <c r="D8" i="8"/>
  <c r="D10" i="8"/>
  <c r="D12" i="8"/>
  <c r="D14" i="8"/>
  <c r="D16" i="8"/>
  <c r="D18" i="8"/>
  <c r="D20" i="8"/>
  <c r="D22" i="8"/>
  <c r="D24" i="8"/>
  <c r="D26" i="8"/>
  <c r="D28" i="8"/>
  <c r="D30" i="8"/>
  <c r="D32" i="8"/>
  <c r="D34" i="8"/>
  <c r="D36" i="8"/>
  <c r="D38" i="8"/>
  <c r="D40" i="8"/>
  <c r="D42" i="8"/>
  <c r="D44" i="8"/>
  <c r="D46" i="8"/>
  <c r="D48" i="8"/>
  <c r="D50" i="8"/>
  <c r="D52" i="8"/>
  <c r="D54" i="8"/>
  <c r="D56" i="8"/>
  <c r="D58" i="8"/>
  <c r="D60" i="8"/>
  <c r="D61" i="8"/>
  <c r="D62" i="8"/>
  <c r="D63" i="8"/>
  <c r="D64" i="8"/>
  <c r="D66" i="8"/>
  <c r="D68" i="8"/>
  <c r="D70" i="8"/>
  <c r="D72" i="8"/>
  <c r="D74" i="8"/>
  <c r="D76" i="8"/>
  <c r="D78" i="8"/>
  <c r="D80" i="8"/>
  <c r="D82" i="8"/>
  <c r="D84" i="8"/>
  <c r="D85" i="8"/>
  <c r="D86" i="8"/>
  <c r="D87" i="8"/>
  <c r="D88" i="8"/>
  <c r="D90" i="8"/>
  <c r="D92" i="8"/>
  <c r="D94" i="8"/>
  <c r="D96" i="8"/>
  <c r="D97" i="8"/>
  <c r="D98" i="8"/>
  <c r="D99" i="8"/>
  <c r="D100" i="8"/>
  <c r="D102" i="8"/>
  <c r="D104" i="8"/>
  <c r="D106" i="8"/>
  <c r="D108" i="8"/>
  <c r="D110" i="8"/>
  <c r="D112" i="8"/>
  <c r="D114" i="8"/>
  <c r="D116" i="8"/>
  <c r="D118" i="8"/>
  <c r="D120" i="8"/>
  <c r="D122" i="8"/>
  <c r="D124" i="8"/>
  <c r="D126" i="8"/>
  <c r="D128" i="8"/>
  <c r="D129" i="8"/>
  <c r="D130" i="8"/>
  <c r="D131" i="8"/>
  <c r="D132" i="8"/>
  <c r="D133" i="8"/>
  <c r="D134" i="8"/>
  <c r="D135" i="8"/>
  <c r="D136" i="8"/>
  <c r="D137" i="8"/>
  <c r="D138" i="8"/>
  <c r="D139" i="8"/>
  <c r="D140" i="8"/>
  <c r="D141" i="8"/>
  <c r="D142" i="8"/>
  <c r="D143" i="8"/>
  <c r="D144" i="8"/>
  <c r="D145" i="8"/>
  <c r="D146" i="8"/>
  <c r="D147" i="8"/>
  <c r="D148" i="8"/>
  <c r="D149" i="8"/>
  <c r="D150" i="8"/>
  <c r="D151" i="8"/>
  <c r="D152" i="8"/>
  <c r="D153" i="8"/>
  <c r="D154" i="8"/>
  <c r="D155" i="8"/>
  <c r="D156" i="8"/>
  <c r="D157" i="8"/>
  <c r="D158" i="8"/>
  <c r="D159" i="8"/>
  <c r="D160" i="8"/>
  <c r="D161" i="8"/>
  <c r="D162" i="8"/>
  <c r="D163" i="8"/>
  <c r="D164" i="8"/>
  <c r="D165" i="8"/>
  <c r="D166" i="8"/>
  <c r="D167" i="8"/>
  <c r="H25" i="116"/>
  <c r="G25" i="116"/>
  <c r="R164" i="7"/>
  <c r="R165" i="7"/>
  <c r="R166" i="7"/>
  <c r="R167" i="7"/>
  <c r="D88" i="6"/>
  <c r="D87" i="6"/>
  <c r="R87" i="5"/>
  <c r="R86" i="5"/>
  <c r="G24" i="116" l="1"/>
  <c r="H24" i="116"/>
  <c r="R160" i="7"/>
  <c r="R161" i="7"/>
  <c r="R162" i="7"/>
  <c r="R163" i="7"/>
  <c r="D83" i="6"/>
  <c r="D84" i="6"/>
  <c r="D86" i="6"/>
  <c r="R84" i="5"/>
  <c r="R85" i="5"/>
  <c r="H23" i="116" l="1"/>
  <c r="G23" i="116"/>
  <c r="R159" i="7"/>
  <c r="R158" i="7"/>
  <c r="R157" i="7"/>
  <c r="R156" i="7"/>
  <c r="R82" i="5"/>
  <c r="G22" i="116"/>
  <c r="H22" i="116"/>
  <c r="I83" i="5" l="1"/>
  <c r="L83" i="5"/>
  <c r="K83" i="5"/>
  <c r="B83" i="5"/>
  <c r="J83" i="5"/>
  <c r="Q83" i="5"/>
  <c r="P83" i="5"/>
  <c r="H83" i="5"/>
  <c r="O83" i="5"/>
  <c r="G83" i="5"/>
  <c r="E83" i="5"/>
  <c r="C83" i="5"/>
  <c r="N83" i="5"/>
  <c r="F83" i="5"/>
  <c r="M83" i="5"/>
  <c r="D83" i="5"/>
  <c r="G38" i="52"/>
  <c r="F38" i="52"/>
  <c r="E38" i="52"/>
  <c r="C38" i="52"/>
  <c r="G28" i="52"/>
  <c r="E28" i="52"/>
  <c r="C27" i="52"/>
  <c r="R83" i="5" l="1"/>
  <c r="D38" i="52"/>
  <c r="D28" i="52" l="1"/>
  <c r="F28" i="52"/>
  <c r="C28" i="52"/>
  <c r="D81" i="6" l="1"/>
  <c r="D82" i="6"/>
  <c r="R81" i="5"/>
  <c r="R152" i="7"/>
  <c r="R153" i="7"/>
  <c r="R154" i="7"/>
  <c r="R155" i="7"/>
  <c r="R80" i="5"/>
  <c r="G21" i="116" l="1"/>
  <c r="H21" i="116"/>
  <c r="R148" i="7" l="1"/>
  <c r="R149" i="7"/>
  <c r="R150" i="7"/>
  <c r="R151" i="7"/>
  <c r="D79" i="6"/>
  <c r="D80" i="6"/>
  <c r="R78" i="5" l="1"/>
  <c r="R79" i="5"/>
  <c r="P13" i="5" l="1"/>
  <c r="G37" i="52" l="1"/>
  <c r="G27" i="52"/>
  <c r="G26" i="52"/>
  <c r="G25" i="52"/>
  <c r="F37" i="52" l="1"/>
  <c r="E37" i="52"/>
  <c r="D37" i="52"/>
  <c r="C37" i="52"/>
  <c r="F27" i="52"/>
  <c r="F26" i="52"/>
  <c r="F25" i="52"/>
  <c r="E27" i="52"/>
  <c r="E26" i="52"/>
  <c r="E25" i="52"/>
  <c r="C26" i="52"/>
  <c r="C25" i="52"/>
  <c r="G20" i="116"/>
  <c r="D20" i="116"/>
  <c r="H20" i="116" s="1"/>
  <c r="D25" i="52" l="1"/>
  <c r="D26" i="52" l="1"/>
  <c r="D27" i="52"/>
  <c r="D78" i="6"/>
  <c r="D77" i="6"/>
  <c r="R147" i="7"/>
  <c r="R146" i="7"/>
  <c r="R145" i="7"/>
  <c r="R144" i="7"/>
  <c r="R77" i="5"/>
  <c r="R76" i="5"/>
  <c r="D45" i="4" l="1"/>
  <c r="R142" i="7" l="1"/>
  <c r="D76" i="6" l="1"/>
  <c r="D75" i="6"/>
  <c r="R74" i="5"/>
  <c r="R75" i="5"/>
  <c r="R140" i="7"/>
  <c r="R141" i="7"/>
  <c r="R143" i="7"/>
  <c r="D44" i="4" l="1"/>
  <c r="R136" i="7" l="1"/>
  <c r="R137" i="7"/>
  <c r="R138" i="7"/>
  <c r="R139" i="7"/>
  <c r="D74" i="6"/>
  <c r="D73" i="6"/>
  <c r="R72" i="5"/>
  <c r="R73" i="5"/>
  <c r="H18" i="116" l="1"/>
  <c r="G18" i="116"/>
  <c r="D72" i="6" l="1"/>
  <c r="D71" i="6"/>
  <c r="H17" i="116" l="1"/>
  <c r="G17" i="116"/>
  <c r="R132" i="7" l="1"/>
  <c r="R133" i="7"/>
  <c r="R134" i="7"/>
  <c r="R135" i="7"/>
  <c r="R71" i="5"/>
  <c r="R70" i="5"/>
  <c r="G18" i="95" l="1"/>
  <c r="H16" i="116" l="1"/>
  <c r="G16" i="116" l="1"/>
  <c r="R131" i="7" l="1"/>
  <c r="R130" i="7"/>
  <c r="D69" i="6"/>
  <c r="D70" i="6"/>
  <c r="R129" i="7" l="1"/>
  <c r="R128" i="7"/>
  <c r="R69" i="5"/>
  <c r="R68" i="5"/>
  <c r="I7" i="116" l="1"/>
  <c r="J7" i="116"/>
  <c r="K7" i="116"/>
  <c r="L7" i="116"/>
  <c r="F181" i="5" l="1"/>
  <c r="F182" i="5"/>
  <c r="F183" i="5"/>
  <c r="F184" i="5"/>
  <c r="F185" i="5"/>
  <c r="F186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I38" i="114"/>
  <c r="I39" i="114"/>
  <c r="K34" i="112" l="1"/>
  <c r="K35" i="112"/>
  <c r="F51" i="53"/>
  <c r="J57" i="50"/>
  <c r="J58" i="50"/>
  <c r="J59" i="50"/>
  <c r="J60" i="50"/>
  <c r="J64" i="56"/>
  <c r="J65" i="56"/>
  <c r="J66" i="56"/>
  <c r="J67" i="56"/>
  <c r="J68" i="56"/>
  <c r="J69" i="56"/>
  <c r="J70" i="56"/>
  <c r="J71" i="56"/>
  <c r="J72" i="56"/>
  <c r="J73" i="56"/>
  <c r="J74" i="56"/>
  <c r="J75" i="56"/>
  <c r="J76" i="56"/>
  <c r="H59" i="55"/>
  <c r="H60" i="55"/>
  <c r="H61" i="55"/>
  <c r="H62" i="55"/>
  <c r="H63" i="55"/>
  <c r="H64" i="55"/>
  <c r="H65" i="55"/>
  <c r="H15" i="116" l="1"/>
  <c r="G15" i="116"/>
  <c r="B127" i="8" l="1"/>
  <c r="B125" i="8"/>
  <c r="R124" i="7"/>
  <c r="R126" i="7"/>
  <c r="D67" i="6"/>
  <c r="B68" i="6" s="1"/>
  <c r="R66" i="5"/>
  <c r="C67" i="5" l="1"/>
  <c r="N127" i="7"/>
  <c r="P125" i="7"/>
  <c r="B127" i="7"/>
  <c r="K127" i="7"/>
  <c r="P67" i="5"/>
  <c r="L67" i="5"/>
  <c r="D67" i="5"/>
  <c r="B67" i="5"/>
  <c r="N67" i="5"/>
  <c r="J67" i="5"/>
  <c r="F67" i="5"/>
  <c r="H67" i="5"/>
  <c r="Q67" i="5"/>
  <c r="M67" i="5"/>
  <c r="I67" i="5"/>
  <c r="E67" i="5"/>
  <c r="O67" i="5"/>
  <c r="K67" i="5"/>
  <c r="G67" i="5"/>
  <c r="C127" i="8"/>
  <c r="D127" i="8" s="1"/>
  <c r="C125" i="8"/>
  <c r="D125" i="8" s="1"/>
  <c r="O127" i="7"/>
  <c r="C127" i="7"/>
  <c r="G127" i="7"/>
  <c r="Q125" i="7"/>
  <c r="B125" i="7"/>
  <c r="F125" i="7"/>
  <c r="J125" i="7"/>
  <c r="N125" i="7"/>
  <c r="D127" i="7"/>
  <c r="H127" i="7"/>
  <c r="L127" i="7"/>
  <c r="P127" i="7"/>
  <c r="E125" i="7"/>
  <c r="M125" i="7"/>
  <c r="C125" i="7"/>
  <c r="G125" i="7"/>
  <c r="K125" i="7"/>
  <c r="O125" i="7"/>
  <c r="E127" i="7"/>
  <c r="I127" i="7"/>
  <c r="M127" i="7"/>
  <c r="Q127" i="7"/>
  <c r="I125" i="7"/>
  <c r="D125" i="7"/>
  <c r="H125" i="7"/>
  <c r="L125" i="7"/>
  <c r="F127" i="7"/>
  <c r="J127" i="7"/>
  <c r="C68" i="6"/>
  <c r="D68" i="6" s="1"/>
  <c r="R67" i="5" l="1"/>
  <c r="R127" i="7"/>
  <c r="R125" i="7"/>
  <c r="C55" i="8" l="1"/>
  <c r="B55" i="8"/>
  <c r="C53" i="8"/>
  <c r="B53" i="8"/>
  <c r="D53" i="8" s="1"/>
  <c r="C51" i="8"/>
  <c r="B51" i="8"/>
  <c r="C49" i="8"/>
  <c r="B49" i="8"/>
  <c r="C47" i="8"/>
  <c r="B47" i="8"/>
  <c r="C45" i="8"/>
  <c r="B45" i="8"/>
  <c r="D45" i="8" s="1"/>
  <c r="C39" i="8"/>
  <c r="B39" i="8"/>
  <c r="C37" i="8"/>
  <c r="B37" i="8"/>
  <c r="C35" i="8"/>
  <c r="B35" i="8"/>
  <c r="C33" i="8"/>
  <c r="B33" i="8"/>
  <c r="D33" i="8" s="1"/>
  <c r="C31" i="8"/>
  <c r="B31" i="8"/>
  <c r="C29" i="8"/>
  <c r="B29" i="8"/>
  <c r="C27" i="8"/>
  <c r="B27" i="8"/>
  <c r="C25" i="8"/>
  <c r="B25" i="8"/>
  <c r="D25" i="8" s="1"/>
  <c r="C23" i="8"/>
  <c r="B23" i="8"/>
  <c r="C21" i="8"/>
  <c r="B21" i="8"/>
  <c r="C19" i="8"/>
  <c r="B19" i="8"/>
  <c r="C17" i="8"/>
  <c r="B17" i="8"/>
  <c r="D17" i="8" s="1"/>
  <c r="C15" i="8"/>
  <c r="B15" i="8"/>
  <c r="C13" i="8"/>
  <c r="B13" i="8"/>
  <c r="C11" i="8"/>
  <c r="B11" i="8"/>
  <c r="C9" i="8"/>
  <c r="B9" i="8"/>
  <c r="D9" i="8" s="1"/>
  <c r="R122" i="7"/>
  <c r="R120" i="7"/>
  <c r="Q119" i="7"/>
  <c r="P119" i="7"/>
  <c r="O119" i="7"/>
  <c r="N119" i="7"/>
  <c r="M119" i="7"/>
  <c r="L119" i="7"/>
  <c r="K119" i="7"/>
  <c r="J119" i="7"/>
  <c r="I119" i="7"/>
  <c r="H119" i="7"/>
  <c r="G119" i="7"/>
  <c r="F119" i="7"/>
  <c r="E119" i="7"/>
  <c r="D119" i="7"/>
  <c r="C119" i="7"/>
  <c r="B119" i="7"/>
  <c r="R116" i="7"/>
  <c r="R114" i="7"/>
  <c r="R112" i="7"/>
  <c r="R110" i="7"/>
  <c r="R108" i="7"/>
  <c r="R107" i="7"/>
  <c r="R106" i="7"/>
  <c r="R105" i="7"/>
  <c r="R104" i="7"/>
  <c r="R102" i="7"/>
  <c r="R100" i="7"/>
  <c r="R99" i="7"/>
  <c r="R98" i="7"/>
  <c r="R97" i="7"/>
  <c r="R96" i="7"/>
  <c r="R94" i="7"/>
  <c r="R92" i="7"/>
  <c r="R90" i="7"/>
  <c r="R88" i="7"/>
  <c r="R86" i="7"/>
  <c r="R84" i="7"/>
  <c r="R82" i="7"/>
  <c r="R80" i="7"/>
  <c r="Q79" i="7"/>
  <c r="P79" i="7"/>
  <c r="O79" i="7"/>
  <c r="N79" i="7"/>
  <c r="M79" i="7"/>
  <c r="L79" i="7"/>
  <c r="K79" i="7"/>
  <c r="J79" i="7"/>
  <c r="I79" i="7"/>
  <c r="H79" i="7"/>
  <c r="G79" i="7"/>
  <c r="F79" i="7"/>
  <c r="E79" i="7"/>
  <c r="D79" i="7"/>
  <c r="C79" i="7"/>
  <c r="B79" i="7"/>
  <c r="Q77" i="7"/>
  <c r="P77" i="7"/>
  <c r="O77" i="7"/>
  <c r="N77" i="7"/>
  <c r="M77" i="7"/>
  <c r="L77" i="7"/>
  <c r="K77" i="7"/>
  <c r="J77" i="7"/>
  <c r="I77" i="7"/>
  <c r="H77" i="7"/>
  <c r="G77" i="7"/>
  <c r="F77" i="7"/>
  <c r="E77" i="7"/>
  <c r="D77" i="7"/>
  <c r="C77" i="7"/>
  <c r="B77" i="7"/>
  <c r="Q75" i="7"/>
  <c r="P75" i="7"/>
  <c r="O75" i="7"/>
  <c r="N75" i="7"/>
  <c r="M75" i="7"/>
  <c r="L75" i="7"/>
  <c r="K75" i="7"/>
  <c r="J75" i="7"/>
  <c r="I75" i="7"/>
  <c r="H75" i="7"/>
  <c r="G75" i="7"/>
  <c r="F75" i="7"/>
  <c r="E75" i="7"/>
  <c r="D75" i="7"/>
  <c r="C75" i="7"/>
  <c r="B75" i="7"/>
  <c r="Q73" i="7"/>
  <c r="P73" i="7"/>
  <c r="O73" i="7"/>
  <c r="N73" i="7"/>
  <c r="M73" i="7"/>
  <c r="L73" i="7"/>
  <c r="K73" i="7"/>
  <c r="J73" i="7"/>
  <c r="I73" i="7"/>
  <c r="H73" i="7"/>
  <c r="G73" i="7"/>
  <c r="F73" i="7"/>
  <c r="E73" i="7"/>
  <c r="D73" i="7"/>
  <c r="C73" i="7"/>
  <c r="B73" i="7"/>
  <c r="Q71" i="7"/>
  <c r="P71" i="7"/>
  <c r="O71" i="7"/>
  <c r="N71" i="7"/>
  <c r="M71" i="7"/>
  <c r="L71" i="7"/>
  <c r="K71" i="7"/>
  <c r="J71" i="7"/>
  <c r="I71" i="7"/>
  <c r="H71" i="7"/>
  <c r="G71" i="7"/>
  <c r="F71" i="7"/>
  <c r="E71" i="7"/>
  <c r="D71" i="7"/>
  <c r="C71" i="7"/>
  <c r="B71" i="7"/>
  <c r="Q69" i="7"/>
  <c r="P69" i="7"/>
  <c r="O69" i="7"/>
  <c r="N69" i="7"/>
  <c r="M69" i="7"/>
  <c r="L69" i="7"/>
  <c r="K69" i="7"/>
  <c r="J69" i="7"/>
  <c r="I69" i="7"/>
  <c r="H69" i="7"/>
  <c r="G69" i="7"/>
  <c r="F69" i="7"/>
  <c r="E69" i="7"/>
  <c r="D69" i="7"/>
  <c r="C69" i="7"/>
  <c r="B69" i="7"/>
  <c r="Q67" i="7"/>
  <c r="P67" i="7"/>
  <c r="O67" i="7"/>
  <c r="N67" i="7"/>
  <c r="M67" i="7"/>
  <c r="L67" i="7"/>
  <c r="K67" i="7"/>
  <c r="J67" i="7"/>
  <c r="I67" i="7"/>
  <c r="H67" i="7"/>
  <c r="G67" i="7"/>
  <c r="F67" i="7"/>
  <c r="E67" i="7"/>
  <c r="D67" i="7"/>
  <c r="C67" i="7"/>
  <c r="B67" i="7"/>
  <c r="Q65" i="7"/>
  <c r="P65" i="7"/>
  <c r="O65" i="7"/>
  <c r="N65" i="7"/>
  <c r="M65" i="7"/>
  <c r="L65" i="7"/>
  <c r="K65" i="7"/>
  <c r="J65" i="7"/>
  <c r="I65" i="7"/>
  <c r="H65" i="7"/>
  <c r="G65" i="7"/>
  <c r="F65" i="7"/>
  <c r="E65" i="7"/>
  <c r="D65" i="7"/>
  <c r="C65" i="7"/>
  <c r="B65" i="7"/>
  <c r="Q63" i="7"/>
  <c r="P63" i="7"/>
  <c r="O63" i="7"/>
  <c r="N63" i="7"/>
  <c r="M63" i="7"/>
  <c r="L63" i="7"/>
  <c r="K63" i="7"/>
  <c r="J63" i="7"/>
  <c r="I63" i="7"/>
  <c r="H63" i="7"/>
  <c r="G63" i="7"/>
  <c r="F63" i="7"/>
  <c r="E63" i="7"/>
  <c r="D63" i="7"/>
  <c r="C63" i="7"/>
  <c r="B63" i="7"/>
  <c r="Q61" i="7"/>
  <c r="P61" i="7"/>
  <c r="O61" i="7"/>
  <c r="N61" i="7"/>
  <c r="M61" i="7"/>
  <c r="L61" i="7"/>
  <c r="K61" i="7"/>
  <c r="J61" i="7"/>
  <c r="I61" i="7"/>
  <c r="H61" i="7"/>
  <c r="G61" i="7"/>
  <c r="F61" i="7"/>
  <c r="E61" i="7"/>
  <c r="D61" i="7"/>
  <c r="C61" i="7"/>
  <c r="B61" i="7"/>
  <c r="Q59" i="7"/>
  <c r="P59" i="7"/>
  <c r="O59" i="7"/>
  <c r="N59" i="7"/>
  <c r="M59" i="7"/>
  <c r="L59" i="7"/>
  <c r="K59" i="7"/>
  <c r="J59" i="7"/>
  <c r="I59" i="7"/>
  <c r="H59" i="7"/>
  <c r="G59" i="7"/>
  <c r="F59" i="7"/>
  <c r="E59" i="7"/>
  <c r="D59" i="7"/>
  <c r="C59" i="7"/>
  <c r="B59" i="7"/>
  <c r="Q57" i="7"/>
  <c r="P57" i="7"/>
  <c r="O57" i="7"/>
  <c r="N57" i="7"/>
  <c r="M57" i="7"/>
  <c r="L57" i="7"/>
  <c r="K57" i="7"/>
  <c r="J57" i="7"/>
  <c r="I57" i="7"/>
  <c r="H57" i="7"/>
  <c r="G57" i="7"/>
  <c r="F57" i="7"/>
  <c r="E57" i="7"/>
  <c r="D57" i="7"/>
  <c r="C57" i="7"/>
  <c r="B57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B55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B39" i="7"/>
  <c r="Q37" i="7"/>
  <c r="P37" i="7"/>
  <c r="O37" i="7"/>
  <c r="N37" i="7"/>
  <c r="M37" i="7"/>
  <c r="L37" i="7"/>
  <c r="K37" i="7"/>
  <c r="J37" i="7"/>
  <c r="I37" i="7"/>
  <c r="H37" i="7"/>
  <c r="G37" i="7"/>
  <c r="F37" i="7"/>
  <c r="E37" i="7"/>
  <c r="D37" i="7"/>
  <c r="C37" i="7"/>
  <c r="B37" i="7"/>
  <c r="Q35" i="7"/>
  <c r="P35" i="7"/>
  <c r="O35" i="7"/>
  <c r="N35" i="7"/>
  <c r="M35" i="7"/>
  <c r="L35" i="7"/>
  <c r="K35" i="7"/>
  <c r="J35" i="7"/>
  <c r="I35" i="7"/>
  <c r="H35" i="7"/>
  <c r="G35" i="7"/>
  <c r="F35" i="7"/>
  <c r="E35" i="7"/>
  <c r="D35" i="7"/>
  <c r="C35" i="7"/>
  <c r="B35" i="7"/>
  <c r="Q33" i="7"/>
  <c r="P33" i="7"/>
  <c r="O33" i="7"/>
  <c r="N33" i="7"/>
  <c r="M33" i="7"/>
  <c r="L33" i="7"/>
  <c r="K33" i="7"/>
  <c r="J33" i="7"/>
  <c r="I33" i="7"/>
  <c r="H33" i="7"/>
  <c r="G33" i="7"/>
  <c r="F33" i="7"/>
  <c r="E33" i="7"/>
  <c r="D33" i="7"/>
  <c r="C33" i="7"/>
  <c r="B33" i="7"/>
  <c r="Q31" i="7"/>
  <c r="P31" i="7"/>
  <c r="O31" i="7"/>
  <c r="N31" i="7"/>
  <c r="M31" i="7"/>
  <c r="L31" i="7"/>
  <c r="K31" i="7"/>
  <c r="J31" i="7"/>
  <c r="I31" i="7"/>
  <c r="H31" i="7"/>
  <c r="G31" i="7"/>
  <c r="F31" i="7"/>
  <c r="E31" i="7"/>
  <c r="D31" i="7"/>
  <c r="C31" i="7"/>
  <c r="B31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C29" i="7"/>
  <c r="B29" i="7"/>
  <c r="Q27" i="7"/>
  <c r="P27" i="7"/>
  <c r="O27" i="7"/>
  <c r="N27" i="7"/>
  <c r="M27" i="7"/>
  <c r="L27" i="7"/>
  <c r="K27" i="7"/>
  <c r="J27" i="7"/>
  <c r="I27" i="7"/>
  <c r="H27" i="7"/>
  <c r="G27" i="7"/>
  <c r="F27" i="7"/>
  <c r="E27" i="7"/>
  <c r="D27" i="7"/>
  <c r="C27" i="7"/>
  <c r="B27" i="7"/>
  <c r="Q25" i="7"/>
  <c r="P25" i="7"/>
  <c r="O25" i="7"/>
  <c r="N25" i="7"/>
  <c r="M25" i="7"/>
  <c r="L25" i="7"/>
  <c r="K25" i="7"/>
  <c r="J25" i="7"/>
  <c r="I25" i="7"/>
  <c r="H25" i="7"/>
  <c r="G25" i="7"/>
  <c r="F25" i="7"/>
  <c r="E25" i="7"/>
  <c r="D25" i="7"/>
  <c r="C25" i="7"/>
  <c r="B25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Q11" i="7"/>
  <c r="P11" i="7"/>
  <c r="O11" i="7"/>
  <c r="N11" i="7"/>
  <c r="M11" i="7"/>
  <c r="L11" i="7"/>
  <c r="K11" i="7"/>
  <c r="J11" i="7"/>
  <c r="I11" i="7"/>
  <c r="H11" i="7"/>
  <c r="G11" i="7"/>
  <c r="F11" i="7"/>
  <c r="E11" i="7"/>
  <c r="D11" i="7"/>
  <c r="C11" i="7"/>
  <c r="B11" i="7"/>
  <c r="Q9" i="7"/>
  <c r="P9" i="7"/>
  <c r="O9" i="7"/>
  <c r="N9" i="7"/>
  <c r="M9" i="7"/>
  <c r="L9" i="7"/>
  <c r="K9" i="7"/>
  <c r="J9" i="7"/>
  <c r="I9" i="7"/>
  <c r="H9" i="7"/>
  <c r="G9" i="7"/>
  <c r="F9" i="7"/>
  <c r="E9" i="7"/>
  <c r="D9" i="7"/>
  <c r="C9" i="7"/>
  <c r="B9" i="7"/>
  <c r="D66" i="6"/>
  <c r="D65" i="6"/>
  <c r="D64" i="6"/>
  <c r="D63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3" i="6"/>
  <c r="B44" i="6" s="1"/>
  <c r="D41" i="6"/>
  <c r="C42" i="6" s="1"/>
  <c r="D39" i="6"/>
  <c r="B40" i="6" s="1"/>
  <c r="D37" i="6"/>
  <c r="C38" i="6" s="1"/>
  <c r="D35" i="6"/>
  <c r="D33" i="6"/>
  <c r="B34" i="6" s="1"/>
  <c r="C32" i="6"/>
  <c r="B32" i="6"/>
  <c r="C30" i="6"/>
  <c r="B30" i="6"/>
  <c r="C28" i="6"/>
  <c r="B28" i="6"/>
  <c r="D25" i="6"/>
  <c r="C26" i="6" s="1"/>
  <c r="C24" i="6"/>
  <c r="B24" i="6"/>
  <c r="C22" i="6"/>
  <c r="B22" i="6"/>
  <c r="C20" i="6"/>
  <c r="B20" i="6"/>
  <c r="C18" i="6"/>
  <c r="B18" i="6"/>
  <c r="C16" i="6"/>
  <c r="B16" i="6"/>
  <c r="C14" i="6"/>
  <c r="B14" i="6"/>
  <c r="C12" i="6"/>
  <c r="B12" i="6"/>
  <c r="C10" i="6"/>
  <c r="B10" i="6"/>
  <c r="R64" i="5"/>
  <c r="F62" i="5"/>
  <c r="R62" i="5" s="1"/>
  <c r="R61" i="5"/>
  <c r="R60" i="5"/>
  <c r="R59" i="5"/>
  <c r="R58" i="5"/>
  <c r="R56" i="5"/>
  <c r="R54" i="5"/>
  <c r="R53" i="5"/>
  <c r="R52" i="5"/>
  <c r="R51" i="5"/>
  <c r="R50" i="5"/>
  <c r="R49" i="5"/>
  <c r="R48" i="5"/>
  <c r="R47" i="5"/>
  <c r="R46" i="5"/>
  <c r="R45" i="5"/>
  <c r="R44" i="5"/>
  <c r="R42" i="5"/>
  <c r="R40" i="5"/>
  <c r="R38" i="5"/>
  <c r="R36" i="5"/>
  <c r="R34" i="5"/>
  <c r="R32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B29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B27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B25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B23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B21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B17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B15" i="5"/>
  <c r="Q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B9" i="5"/>
  <c r="D35" i="4"/>
  <c r="D24" i="4"/>
  <c r="D23" i="4"/>
  <c r="D22" i="4"/>
  <c r="J26" i="50"/>
  <c r="G20" i="52"/>
  <c r="F20" i="52"/>
  <c r="E20" i="52"/>
  <c r="D20" i="52"/>
  <c r="C20" i="52"/>
  <c r="G19" i="52"/>
  <c r="F19" i="52"/>
  <c r="E19" i="52"/>
  <c r="D19" i="52"/>
  <c r="C19" i="52"/>
  <c r="G18" i="52"/>
  <c r="F18" i="52"/>
  <c r="E18" i="52"/>
  <c r="D18" i="52"/>
  <c r="C18" i="52"/>
  <c r="G17" i="52"/>
  <c r="F17" i="52"/>
  <c r="E17" i="52"/>
  <c r="D17" i="52"/>
  <c r="C17" i="52"/>
  <c r="G16" i="52"/>
  <c r="F16" i="52"/>
  <c r="E16" i="52"/>
  <c r="D16" i="52"/>
  <c r="C16" i="52"/>
  <c r="G15" i="52"/>
  <c r="F15" i="52"/>
  <c r="E15" i="52"/>
  <c r="D15" i="52"/>
  <c r="C15" i="52"/>
  <c r="G14" i="52"/>
  <c r="F14" i="52"/>
  <c r="E14" i="52"/>
  <c r="D14" i="52"/>
  <c r="C14" i="52"/>
  <c r="G13" i="52"/>
  <c r="F13" i="52"/>
  <c r="E13" i="52"/>
  <c r="D13" i="52"/>
  <c r="C13" i="52"/>
  <c r="G12" i="52"/>
  <c r="F12" i="52"/>
  <c r="E12" i="52"/>
  <c r="D12" i="52"/>
  <c r="C12" i="52"/>
  <c r="G11" i="52"/>
  <c r="F11" i="52"/>
  <c r="E11" i="52"/>
  <c r="D11" i="52"/>
  <c r="C11" i="52"/>
  <c r="G10" i="52"/>
  <c r="F10" i="52"/>
  <c r="E10" i="52"/>
  <c r="D10" i="52"/>
  <c r="C10" i="52"/>
  <c r="G9" i="52"/>
  <c r="F9" i="52"/>
  <c r="E9" i="52"/>
  <c r="D9" i="52"/>
  <c r="C9" i="52"/>
  <c r="E17" i="95"/>
  <c r="H34" i="3"/>
  <c r="H33" i="3"/>
  <c r="H29" i="3"/>
  <c r="D28" i="3"/>
  <c r="H20" i="3"/>
  <c r="D20" i="3"/>
  <c r="C20" i="3"/>
  <c r="D13" i="8" l="1"/>
  <c r="D21" i="8"/>
  <c r="D29" i="8"/>
  <c r="D37" i="8"/>
  <c r="D49" i="8"/>
  <c r="O65" i="5"/>
  <c r="E33" i="5"/>
  <c r="N55" i="5"/>
  <c r="N35" i="5"/>
  <c r="E57" i="5"/>
  <c r="I37" i="5"/>
  <c r="N39" i="5"/>
  <c r="M41" i="5"/>
  <c r="N43" i="5"/>
  <c r="D15" i="8"/>
  <c r="D23" i="8"/>
  <c r="D31" i="8"/>
  <c r="D39" i="8"/>
  <c r="D51" i="8"/>
  <c r="D11" i="8"/>
  <c r="D19" i="8"/>
  <c r="D27" i="8"/>
  <c r="D35" i="8"/>
  <c r="D47" i="8"/>
  <c r="D55" i="8"/>
  <c r="D32" i="6"/>
  <c r="Q117" i="7"/>
  <c r="Q93" i="7"/>
  <c r="O95" i="7"/>
  <c r="N121" i="7"/>
  <c r="I123" i="7"/>
  <c r="Q81" i="7"/>
  <c r="O83" i="7"/>
  <c r="Q85" i="7"/>
  <c r="Q109" i="7"/>
  <c r="O87" i="7"/>
  <c r="O111" i="7"/>
  <c r="Q89" i="7"/>
  <c r="Q101" i="7"/>
  <c r="Q113" i="7"/>
  <c r="O91" i="7"/>
  <c r="O103" i="7"/>
  <c r="O115" i="7"/>
  <c r="J81" i="7"/>
  <c r="C121" i="7"/>
  <c r="B81" i="7"/>
  <c r="B101" i="7"/>
  <c r="D115" i="7"/>
  <c r="C81" i="7"/>
  <c r="D85" i="7"/>
  <c r="B113" i="7"/>
  <c r="C40" i="6"/>
  <c r="D40" i="6" s="1"/>
  <c r="C62" i="6"/>
  <c r="B62" i="6"/>
  <c r="B26" i="6"/>
  <c r="D26" i="6" s="1"/>
  <c r="B38" i="6"/>
  <c r="D38" i="6" s="1"/>
  <c r="D35" i="5"/>
  <c r="K35" i="5"/>
  <c r="G39" i="5"/>
  <c r="O39" i="5"/>
  <c r="I41" i="5"/>
  <c r="G43" i="5"/>
  <c r="O43" i="5"/>
  <c r="H55" i="5"/>
  <c r="P55" i="5"/>
  <c r="P65" i="5"/>
  <c r="B42" i="6"/>
  <c r="D42" i="6" s="1"/>
  <c r="C44" i="6"/>
  <c r="D44" i="6" s="1"/>
  <c r="G81" i="7"/>
  <c r="O81" i="7"/>
  <c r="L83" i="7"/>
  <c r="C85" i="7"/>
  <c r="H85" i="7"/>
  <c r="O85" i="7"/>
  <c r="L87" i="7"/>
  <c r="C89" i="7"/>
  <c r="H89" i="7"/>
  <c r="N89" i="7"/>
  <c r="D91" i="7"/>
  <c r="N93" i="7"/>
  <c r="L95" i="7"/>
  <c r="F101" i="7"/>
  <c r="D103" i="7"/>
  <c r="N109" i="7"/>
  <c r="L111" i="7"/>
  <c r="F113" i="7"/>
  <c r="B115" i="7"/>
  <c r="P115" i="7"/>
  <c r="J117" i="7"/>
  <c r="F35" i="5"/>
  <c r="L35" i="5"/>
  <c r="H39" i="5"/>
  <c r="P39" i="5"/>
  <c r="H43" i="5"/>
  <c r="P43" i="5"/>
  <c r="C55" i="5"/>
  <c r="K55" i="5"/>
  <c r="D65" i="5"/>
  <c r="P83" i="7"/>
  <c r="J85" i="7"/>
  <c r="P87" i="7"/>
  <c r="D89" i="7"/>
  <c r="J89" i="7"/>
  <c r="O89" i="7"/>
  <c r="H91" i="7"/>
  <c r="B93" i="7"/>
  <c r="P95" i="7"/>
  <c r="J101" i="7"/>
  <c r="H103" i="7"/>
  <c r="B109" i="7"/>
  <c r="P111" i="7"/>
  <c r="J113" i="7"/>
  <c r="N117" i="7"/>
  <c r="G121" i="7"/>
  <c r="B35" i="5"/>
  <c r="G35" i="5"/>
  <c r="O35" i="5"/>
  <c r="C39" i="5"/>
  <c r="K39" i="5"/>
  <c r="C43" i="5"/>
  <c r="K43" i="5"/>
  <c r="D55" i="5"/>
  <c r="L55" i="5"/>
  <c r="H65" i="5"/>
  <c r="K81" i="7"/>
  <c r="D83" i="7"/>
  <c r="F85" i="7"/>
  <c r="K85" i="7"/>
  <c r="D87" i="7"/>
  <c r="F89" i="7"/>
  <c r="K89" i="7"/>
  <c r="P89" i="7"/>
  <c r="L91" i="7"/>
  <c r="F93" i="7"/>
  <c r="D95" i="7"/>
  <c r="N101" i="7"/>
  <c r="L103" i="7"/>
  <c r="F109" i="7"/>
  <c r="D111" i="7"/>
  <c r="N113" i="7"/>
  <c r="H115" i="7"/>
  <c r="B117" i="7"/>
  <c r="K121" i="7"/>
  <c r="C35" i="5"/>
  <c r="H35" i="5"/>
  <c r="P35" i="5"/>
  <c r="D39" i="5"/>
  <c r="L39" i="5"/>
  <c r="E41" i="5"/>
  <c r="D43" i="5"/>
  <c r="L43" i="5"/>
  <c r="G55" i="5"/>
  <c r="O55" i="5"/>
  <c r="L65" i="5"/>
  <c r="C34" i="6"/>
  <c r="D34" i="6" s="1"/>
  <c r="F81" i="7"/>
  <c r="N81" i="7"/>
  <c r="H83" i="7"/>
  <c r="B85" i="7"/>
  <c r="G85" i="7"/>
  <c r="N85" i="7"/>
  <c r="H87" i="7"/>
  <c r="B89" i="7"/>
  <c r="G89" i="7"/>
  <c r="L89" i="7"/>
  <c r="P91" i="7"/>
  <c r="J93" i="7"/>
  <c r="H95" i="7"/>
  <c r="P103" i="7"/>
  <c r="J109" i="7"/>
  <c r="H111" i="7"/>
  <c r="L115" i="7"/>
  <c r="F117" i="7"/>
  <c r="B121" i="7"/>
  <c r="O121" i="7"/>
  <c r="Q33" i="5"/>
  <c r="E37" i="5"/>
  <c r="Q63" i="5"/>
  <c r="M63" i="5"/>
  <c r="I63" i="5"/>
  <c r="E63" i="5"/>
  <c r="B63" i="5"/>
  <c r="P63" i="5"/>
  <c r="L63" i="5"/>
  <c r="H63" i="5"/>
  <c r="D63" i="5"/>
  <c r="N63" i="5"/>
  <c r="F63" i="5"/>
  <c r="O63" i="5"/>
  <c r="K63" i="5"/>
  <c r="G63" i="5"/>
  <c r="C63" i="5"/>
  <c r="J63" i="5"/>
  <c r="P33" i="5"/>
  <c r="L33" i="5"/>
  <c r="H33" i="5"/>
  <c r="D33" i="5"/>
  <c r="O33" i="5"/>
  <c r="K33" i="5"/>
  <c r="G33" i="5"/>
  <c r="C33" i="5"/>
  <c r="N33" i="5"/>
  <c r="J33" i="5"/>
  <c r="F33" i="5"/>
  <c r="B33" i="5"/>
  <c r="Q37" i="5"/>
  <c r="I33" i="5"/>
  <c r="P41" i="5"/>
  <c r="L41" i="5"/>
  <c r="H41" i="5"/>
  <c r="D41" i="5"/>
  <c r="O41" i="5"/>
  <c r="K41" i="5"/>
  <c r="G41" i="5"/>
  <c r="C41" i="5"/>
  <c r="N41" i="5"/>
  <c r="J41" i="5"/>
  <c r="F41" i="5"/>
  <c r="B41" i="5"/>
  <c r="Q41" i="5"/>
  <c r="P37" i="5"/>
  <c r="L37" i="5"/>
  <c r="H37" i="5"/>
  <c r="D37" i="5"/>
  <c r="O37" i="5"/>
  <c r="K37" i="5"/>
  <c r="G37" i="5"/>
  <c r="C37" i="5"/>
  <c r="N37" i="5"/>
  <c r="J37" i="5"/>
  <c r="F37" i="5"/>
  <c r="B37" i="5"/>
  <c r="M33" i="5"/>
  <c r="M37" i="5"/>
  <c r="P57" i="5"/>
  <c r="L57" i="5"/>
  <c r="H57" i="5"/>
  <c r="D57" i="5"/>
  <c r="M57" i="5"/>
  <c r="O57" i="5"/>
  <c r="K57" i="5"/>
  <c r="G57" i="5"/>
  <c r="C57" i="5"/>
  <c r="Q57" i="5"/>
  <c r="I57" i="5"/>
  <c r="N57" i="5"/>
  <c r="J57" i="5"/>
  <c r="F57" i="5"/>
  <c r="B57" i="5"/>
  <c r="C43" i="8"/>
  <c r="B43" i="8"/>
  <c r="D43" i="8" s="1"/>
  <c r="C83" i="8"/>
  <c r="B83" i="8"/>
  <c r="D83" i="8" s="1"/>
  <c r="C123" i="8"/>
  <c r="B123" i="8"/>
  <c r="E65" i="5"/>
  <c r="I65" i="5"/>
  <c r="M65" i="5"/>
  <c r="Q65" i="5"/>
  <c r="E83" i="7"/>
  <c r="I83" i="7"/>
  <c r="M83" i="7"/>
  <c r="Q83" i="7"/>
  <c r="E87" i="7"/>
  <c r="I87" i="7"/>
  <c r="M87" i="7"/>
  <c r="Q87" i="7"/>
  <c r="E91" i="7"/>
  <c r="I91" i="7"/>
  <c r="M91" i="7"/>
  <c r="Q91" i="7"/>
  <c r="E123" i="7"/>
  <c r="C57" i="8"/>
  <c r="B57" i="8"/>
  <c r="D57" i="8" s="1"/>
  <c r="C69" i="8"/>
  <c r="B69" i="8"/>
  <c r="C77" i="8"/>
  <c r="B77" i="8"/>
  <c r="C89" i="8"/>
  <c r="B89" i="8"/>
  <c r="C101" i="8"/>
  <c r="B101" i="8"/>
  <c r="D101" i="8" s="1"/>
  <c r="C109" i="8"/>
  <c r="B109" i="8"/>
  <c r="D109" i="8" s="1"/>
  <c r="C117" i="8"/>
  <c r="B117" i="8"/>
  <c r="Q123" i="7"/>
  <c r="C67" i="8"/>
  <c r="B67" i="8"/>
  <c r="C95" i="8"/>
  <c r="B95" i="8"/>
  <c r="D95" i="8" s="1"/>
  <c r="C115" i="8"/>
  <c r="B115" i="8"/>
  <c r="D115" i="8" s="1"/>
  <c r="E35" i="5"/>
  <c r="I35" i="5"/>
  <c r="M35" i="5"/>
  <c r="Q35" i="5"/>
  <c r="E39" i="5"/>
  <c r="I39" i="5"/>
  <c r="M39" i="5"/>
  <c r="Q39" i="5"/>
  <c r="E43" i="5"/>
  <c r="I43" i="5"/>
  <c r="M43" i="5"/>
  <c r="Q43" i="5"/>
  <c r="E55" i="5"/>
  <c r="I55" i="5"/>
  <c r="M55" i="5"/>
  <c r="Q55" i="5"/>
  <c r="B65" i="5"/>
  <c r="F65" i="5"/>
  <c r="J65" i="5"/>
  <c r="N65" i="5"/>
  <c r="D81" i="7"/>
  <c r="H81" i="7"/>
  <c r="L81" i="7"/>
  <c r="P81" i="7"/>
  <c r="B83" i="7"/>
  <c r="F83" i="7"/>
  <c r="J83" i="7"/>
  <c r="N83" i="7"/>
  <c r="L85" i="7"/>
  <c r="P85" i="7"/>
  <c r="B87" i="7"/>
  <c r="F87" i="7"/>
  <c r="J87" i="7"/>
  <c r="N87" i="7"/>
  <c r="B91" i="7"/>
  <c r="F91" i="7"/>
  <c r="J91" i="7"/>
  <c r="N91" i="7"/>
  <c r="R119" i="7"/>
  <c r="C59" i="8"/>
  <c r="B59" i="8"/>
  <c r="C71" i="8"/>
  <c r="B71" i="8"/>
  <c r="D71" i="8" s="1"/>
  <c r="C79" i="8"/>
  <c r="B79" i="8"/>
  <c r="D79" i="8" s="1"/>
  <c r="C91" i="8"/>
  <c r="B91" i="8"/>
  <c r="D91" i="8" s="1"/>
  <c r="C103" i="8"/>
  <c r="B103" i="8"/>
  <c r="C111" i="8"/>
  <c r="B111" i="8"/>
  <c r="D111" i="8" s="1"/>
  <c r="C119" i="8"/>
  <c r="B119" i="8"/>
  <c r="D119" i="8" s="1"/>
  <c r="P123" i="7"/>
  <c r="L123" i="7"/>
  <c r="H123" i="7"/>
  <c r="D123" i="7"/>
  <c r="O123" i="7"/>
  <c r="K123" i="7"/>
  <c r="G123" i="7"/>
  <c r="C123" i="7"/>
  <c r="N123" i="7"/>
  <c r="J123" i="7"/>
  <c r="F123" i="7"/>
  <c r="B123" i="7"/>
  <c r="C75" i="8"/>
  <c r="B75" i="8"/>
  <c r="D75" i="8" s="1"/>
  <c r="C107" i="8"/>
  <c r="B107" i="8"/>
  <c r="D107" i="8" s="1"/>
  <c r="J35" i="5"/>
  <c r="B39" i="5"/>
  <c r="F39" i="5"/>
  <c r="J39" i="5"/>
  <c r="B43" i="5"/>
  <c r="F43" i="5"/>
  <c r="J43" i="5"/>
  <c r="B55" i="5"/>
  <c r="F55" i="5"/>
  <c r="J55" i="5"/>
  <c r="C65" i="5"/>
  <c r="G65" i="5"/>
  <c r="K65" i="5"/>
  <c r="E81" i="7"/>
  <c r="I81" i="7"/>
  <c r="M81" i="7"/>
  <c r="C83" i="7"/>
  <c r="G83" i="7"/>
  <c r="K83" i="7"/>
  <c r="E85" i="7"/>
  <c r="I85" i="7"/>
  <c r="M85" i="7"/>
  <c r="C87" i="7"/>
  <c r="G87" i="7"/>
  <c r="K87" i="7"/>
  <c r="E89" i="7"/>
  <c r="I89" i="7"/>
  <c r="M89" i="7"/>
  <c r="C91" i="7"/>
  <c r="G91" i="7"/>
  <c r="K91" i="7"/>
  <c r="M123" i="7"/>
  <c r="C41" i="8"/>
  <c r="B41" i="8"/>
  <c r="D41" i="8" s="1"/>
  <c r="C65" i="8"/>
  <c r="B65" i="8"/>
  <c r="C73" i="8"/>
  <c r="B73" i="8"/>
  <c r="D73" i="8" s="1"/>
  <c r="C81" i="8"/>
  <c r="B81" i="8"/>
  <c r="D81" i="8" s="1"/>
  <c r="C93" i="8"/>
  <c r="B93" i="8"/>
  <c r="D93" i="8" s="1"/>
  <c r="C105" i="8"/>
  <c r="B105" i="8"/>
  <c r="D105" i="8" s="1"/>
  <c r="C113" i="8"/>
  <c r="B113" i="8"/>
  <c r="D113" i="8" s="1"/>
  <c r="C121" i="8"/>
  <c r="B121" i="8"/>
  <c r="D121" i="8" s="1"/>
  <c r="C93" i="7"/>
  <c r="G93" i="7"/>
  <c r="K93" i="7"/>
  <c r="O93" i="7"/>
  <c r="E95" i="7"/>
  <c r="I95" i="7"/>
  <c r="M95" i="7"/>
  <c r="Q95" i="7"/>
  <c r="C101" i="7"/>
  <c r="G101" i="7"/>
  <c r="K101" i="7"/>
  <c r="O101" i="7"/>
  <c r="E103" i="7"/>
  <c r="I103" i="7"/>
  <c r="M103" i="7"/>
  <c r="Q103" i="7"/>
  <c r="C109" i="7"/>
  <c r="G109" i="7"/>
  <c r="K109" i="7"/>
  <c r="O109" i="7"/>
  <c r="E111" i="7"/>
  <c r="I111" i="7"/>
  <c r="M111" i="7"/>
  <c r="Q111" i="7"/>
  <c r="C113" i="7"/>
  <c r="G113" i="7"/>
  <c r="K113" i="7"/>
  <c r="O113" i="7"/>
  <c r="E115" i="7"/>
  <c r="I115" i="7"/>
  <c r="M115" i="7"/>
  <c r="Q115" i="7"/>
  <c r="C117" i="7"/>
  <c r="G117" i="7"/>
  <c r="K117" i="7"/>
  <c r="O117" i="7"/>
  <c r="D121" i="7"/>
  <c r="H121" i="7"/>
  <c r="L121" i="7"/>
  <c r="P121" i="7"/>
  <c r="D93" i="7"/>
  <c r="H93" i="7"/>
  <c r="L93" i="7"/>
  <c r="P93" i="7"/>
  <c r="B95" i="7"/>
  <c r="F95" i="7"/>
  <c r="J95" i="7"/>
  <c r="N95" i="7"/>
  <c r="D101" i="7"/>
  <c r="H101" i="7"/>
  <c r="L101" i="7"/>
  <c r="P101" i="7"/>
  <c r="B103" i="7"/>
  <c r="F103" i="7"/>
  <c r="J103" i="7"/>
  <c r="N103" i="7"/>
  <c r="D109" i="7"/>
  <c r="H109" i="7"/>
  <c r="L109" i="7"/>
  <c r="P109" i="7"/>
  <c r="B111" i="7"/>
  <c r="F111" i="7"/>
  <c r="J111" i="7"/>
  <c r="N111" i="7"/>
  <c r="D113" i="7"/>
  <c r="H113" i="7"/>
  <c r="L113" i="7"/>
  <c r="P113" i="7"/>
  <c r="F115" i="7"/>
  <c r="J115" i="7"/>
  <c r="N115" i="7"/>
  <c r="D117" i="7"/>
  <c r="H117" i="7"/>
  <c r="L117" i="7"/>
  <c r="P117" i="7"/>
  <c r="E121" i="7"/>
  <c r="I121" i="7"/>
  <c r="M121" i="7"/>
  <c r="Q121" i="7"/>
  <c r="E93" i="7"/>
  <c r="I93" i="7"/>
  <c r="M93" i="7"/>
  <c r="C95" i="7"/>
  <c r="G95" i="7"/>
  <c r="K95" i="7"/>
  <c r="E101" i="7"/>
  <c r="I101" i="7"/>
  <c r="M101" i="7"/>
  <c r="C103" i="7"/>
  <c r="G103" i="7"/>
  <c r="K103" i="7"/>
  <c r="E109" i="7"/>
  <c r="I109" i="7"/>
  <c r="M109" i="7"/>
  <c r="C111" i="7"/>
  <c r="G111" i="7"/>
  <c r="K111" i="7"/>
  <c r="E113" i="7"/>
  <c r="I113" i="7"/>
  <c r="M113" i="7"/>
  <c r="C115" i="7"/>
  <c r="G115" i="7"/>
  <c r="K115" i="7"/>
  <c r="E117" i="7"/>
  <c r="I117" i="7"/>
  <c r="M117" i="7"/>
  <c r="F121" i="7"/>
  <c r="J121" i="7"/>
  <c r="D65" i="8" l="1"/>
  <c r="D103" i="8"/>
  <c r="D59" i="8"/>
  <c r="D117" i="8"/>
  <c r="D77" i="8"/>
  <c r="D67" i="8"/>
  <c r="D69" i="8"/>
  <c r="D89" i="8"/>
  <c r="D123" i="8"/>
  <c r="D62" i="6"/>
  <c r="R85" i="7"/>
  <c r="R81" i="7"/>
  <c r="R35" i="5"/>
  <c r="R89" i="7"/>
  <c r="R57" i="5"/>
  <c r="R115" i="7"/>
  <c r="R121" i="7"/>
  <c r="R117" i="7"/>
  <c r="R113" i="7"/>
  <c r="R109" i="7"/>
  <c r="R101" i="7"/>
  <c r="R93" i="7"/>
  <c r="R95" i="7"/>
  <c r="R63" i="5"/>
  <c r="R39" i="5"/>
  <c r="R37" i="5"/>
  <c r="R33" i="5"/>
  <c r="R103" i="7"/>
  <c r="R65" i="5"/>
  <c r="R43" i="5"/>
  <c r="R91" i="7"/>
  <c r="R87" i="7"/>
  <c r="R41" i="5"/>
  <c r="R111" i="7"/>
  <c r="R83" i="7"/>
  <c r="R55" i="5"/>
  <c r="R123" i="7"/>
</calcChain>
</file>

<file path=xl/sharedStrings.xml><?xml version="1.0" encoding="utf-8"?>
<sst xmlns="http://schemas.openxmlformats.org/spreadsheetml/2006/main" count="1480" uniqueCount="707">
  <si>
    <t xml:space="preserve">**يقصد به فئة المستثمرين ذوي السلوك الاستثماري غير المؤسسي، وتشمل المستثمرين الأفراد وكبار المستثمرين الأفراد والخليجيين الأفراد والأجانب المقيمين.
</t>
  </si>
  <si>
    <t xml:space="preserve">***مستثمرون أجانب مؤهلون للاستثمار في السوق المالية السعودية وفقًا للقواعد المنظمة لاستثمار المؤسسات المالية الأجنبية المؤهلة في الأسهم المدرجة.
</t>
  </si>
  <si>
    <t>*الفرد السعودي الذي يمتلك محفظة متوسط حجمها مليون ريال سعودي فأكثر خلال الاثني عشر شهرًا الأخيرة، ويستثنى من ذلك المستثمرون الأفراد المتخصصون.</t>
  </si>
  <si>
    <t>**الفرد السعودي الذي يبلغ متوسط حجم محفظته 50 مليون ريال فأكثر خلال الاثني عشر شهرًا الأخيرة ومعدل تدوير محفظته الاستثمارية لا يتجاوز 4 مرات سنويًا.</t>
  </si>
  <si>
    <t>**** قيمة الاستحواذ غير المودعة 338,232,500 ريال سعودي لمجموعة الطيار للسفر ليست متضمنة في قيمة الملكية بنهاية الربع الأول 2016م</t>
  </si>
  <si>
    <t>***** قيمة حقوق الاولوية غير المودعة 715,200,000 ريال سعودي لشركة تكوين ليست متضمنة في قيمة الملكية بنهاية الربع الثالث 2016م</t>
  </si>
  <si>
    <t>-</t>
  </si>
  <si>
    <t>خلال الفترة
During Period</t>
  </si>
  <si>
    <t>الفترة
Period</t>
  </si>
  <si>
    <t>ذكر
Male</t>
  </si>
  <si>
    <t>أنثى
Female</t>
  </si>
  <si>
    <t>إجمالي عدد الأفراد
Total number of Individuals</t>
  </si>
  <si>
    <t>عدد المحافظ الاستثمارية للأفراد*
Number of Individual Portfolios*</t>
  </si>
  <si>
    <t>الإجمالي
Total</t>
  </si>
  <si>
    <t>نهاية الفترة
End of Period</t>
  </si>
  <si>
    <t xml:space="preserve">* HNWIs are Saudi individuals who have had an average portfolio size of SAR 1 million (and above) for the preceding 12 months, excluding IPIs (see below). </t>
  </si>
  <si>
    <t>** IPIs are Saudi individuals who have had an average portfolio size of SAR 50 million (and above) for the preceding 12 months and a portfolio turnover ratio of not more than 4 times annually.</t>
  </si>
  <si>
    <t>*** Qualified Foreign Institutional investors registered with the CMA in accordance with the QFI Rules, to invest in shares listed on the Saudi Stock Exchange.</t>
  </si>
  <si>
    <t>**** Undeposited acquisition value  (SR 338,232,500) of Altayyar Travel Group is not included in ownership value at the end of first quarter of 2016.</t>
  </si>
  <si>
    <t>*****Undeposited right issue (SR 715,200,000) of the Takween Advanced Industries Co. is not included  in ownership value at the end of third quarter of 2016.</t>
  </si>
  <si>
    <t>* Refers to investors with intuitional investment behavior including GREs, Saudi Corporates, Saudi Mutual Funds, Saudi and Non-Saudi DPMs, Saudi Individual Professional Investors (IPI), SWAP Holders, Foreign Strategic Partners and Qualified Foreign Investors (QFI).</t>
  </si>
  <si>
    <t>** Refers to investors with non-institutional investment behavior including Saudi Retail Investors, Saudi High Net Worth Investors (HNWI), GCC Individuals and Foreign Residents.</t>
  </si>
  <si>
    <t>**** Undeposited acquisition value  (SR 338,232,500) of Altayyar Travel Group is not included in ownership value at the end of first quarter of 2016.</t>
  </si>
  <si>
    <t>******  حقوق الأولوية المتداولة غير المودعة بقيمة 3,360,000,000 ريال سعودي ليست متضمنة في قيمة الملكية كما في 29 مارس</t>
  </si>
  <si>
    <t>******Undeposited right issue (SR 3,360,000,000)  is not included  in ownership value as of March 29</t>
  </si>
  <si>
    <t>* The profit after all expenses have been deducted.</t>
  </si>
  <si>
    <t>*  الأرباح بعد خصم جميع النفقات</t>
  </si>
  <si>
    <t>* إجمالي حقوق المساهمين يمثل إجمالي أصول الشركة ناقص إجمالي مطلوباتها</t>
  </si>
  <si>
    <t>* مجموع الديون طويلة وقصيرة الأجل. ولا تشمل قطاع التأمين.</t>
  </si>
  <si>
    <t>* Total Shareholders Equity represents total assets minus total liability</t>
  </si>
  <si>
    <t>النصف الأول عام 2013م
First half 2013</t>
  </si>
  <si>
    <t>النصف الأول عام 2014م
First half 2014</t>
  </si>
  <si>
    <t>الربع الثالث عام  2015م
Third quarter 2015</t>
  </si>
  <si>
    <t>الربع الأول عام  2016م
First quarter 2016</t>
  </si>
  <si>
    <t>الربع الثاني عام  2016م
Second quarter 2016</t>
  </si>
  <si>
    <t>الربع الثالث عام  2016م
Third quarter 2016</t>
  </si>
  <si>
    <t>الربع الثاني عام  2017م
Second quarter 2017</t>
  </si>
  <si>
    <t>الربع الثالث عام  2017م
Third quarter 2017</t>
  </si>
  <si>
    <r>
      <t>الربع الأول عام  2018م
First quarter 2018</t>
    </r>
    <r>
      <rPr>
        <sz val="11"/>
        <color theme="1"/>
        <rFont val="Calibri"/>
        <family val="2"/>
        <charset val="178"/>
        <scheme val="minor"/>
      </rPr>
      <t/>
    </r>
  </si>
  <si>
    <t>الربع الأول عام  2019م
First quarter 2019</t>
  </si>
  <si>
    <t>الربع الثاني عام  2019م
Second quarter 2019</t>
  </si>
  <si>
    <t>النصف الأول عام  2015م
First half 2015</t>
  </si>
  <si>
    <t>الربع الأول عام  2017م
First quarter 2017</t>
  </si>
  <si>
    <t>الربع الأول عام  2018م
First quarter 2018</t>
  </si>
  <si>
    <t>الربع الثاني عام  2018م
Second quarter 2018</t>
  </si>
  <si>
    <t>الربع الثالث عام  2018م
Third quarter 2018</t>
  </si>
  <si>
    <t> (مليون ريال)
 (Million Riyals)</t>
  </si>
  <si>
    <t xml:space="preserve"> *يقصد به فئة المستثمرين ذوي السلوك الاستثماري المؤسسي، وتشمل المستثمرين الأفراد المتخصصين والشركات والصناديق الاستثمارية والجهات الحكومية والمحافظ المدارة للسعوديين وغير السعوديين والمؤسسات الخليجيه واتفاقيات المبادلة والشركاء الإستراتيجيين والمستثمرين المؤهلين.</t>
  </si>
  <si>
    <t>الربع الثالث عام  2019م
Third quarter 2019</t>
  </si>
  <si>
    <t>**تقدمت شركة عوازل طلب إلغاء الموافقة على الطرح وتم قبول الطلب</t>
  </si>
  <si>
    <t>الربع الأول عام  2020م
First quarter 2020</t>
  </si>
  <si>
    <t>*** قيمة الاستحواذ غير المودعة 338,232,500 ريال سعودي لمجموعة الطيار للسفر ليست متضمنة في قيمة الملكية بنهاية الربع الأول 2016م</t>
  </si>
  <si>
    <t>**** قيمة حقوق الاولوية غير المودعة 715,200,000 ريال سعودي لشركة تكوين ليست متضمنة في قيمة الملكية بنهاية الربع الثالث 2016م</t>
  </si>
  <si>
    <t>*All existing  portfolios, whether they contain shares or not</t>
  </si>
  <si>
    <t>الربع الثاني عام  2020م
Second quarter 2020</t>
  </si>
  <si>
    <t>الربع الثالث عام  2020م
Third quarter 2020</t>
  </si>
  <si>
    <t>الربع الأول عام  2021م
First quarter 2021</t>
  </si>
  <si>
    <t>الربع الثاني عام  2021م
Second quarter 2021</t>
  </si>
  <si>
    <t>النصف الأول عام  2021م
First half 2021</t>
  </si>
  <si>
    <t>لا يشمل قطاع الصناديق العقارية المتداولة</t>
  </si>
  <si>
    <t>Excluding REITs  Sector</t>
  </si>
  <si>
    <t xml:space="preserve">*The total of Long-term debt and short-term debt. </t>
  </si>
  <si>
    <t>Excluding REITs &amp; Insurance Sectors</t>
  </si>
  <si>
    <t>الربع الثالث عام  2021م
Third quarter 2021</t>
  </si>
  <si>
    <t>الربع الأول عام  2022م
First quarter 2022</t>
  </si>
  <si>
    <t xml:space="preserve"> الأسهم
Equities </t>
  </si>
  <si>
    <t>*إجمالي الموجودات</t>
  </si>
  <si>
    <t>* Total Assets</t>
  </si>
  <si>
    <t>*Total assets</t>
  </si>
  <si>
    <t>* إجمالي الأصول.</t>
  </si>
  <si>
    <t>* مجموع الديون طويلة وقصيرة الأجل.</t>
  </si>
  <si>
    <t>الربع الثاني عام  2022م
Second quarter 2022</t>
  </si>
  <si>
    <t>2,250,050.10 </t>
  </si>
  <si>
    <t>* لا يشمل قطاع الصناديق العقارية المتداولة</t>
  </si>
  <si>
    <t>** لا يشمل قطاع التأمين</t>
  </si>
  <si>
    <t>*** القوائم المالية تنشر بشكل نصف سنوي</t>
  </si>
  <si>
    <t>*Does not include the real estate traded funds sector</t>
  </si>
  <si>
    <t>** Does not include the insurance sector</t>
  </si>
  <si>
    <t>*** The financial statements are published semi-annually</t>
  </si>
  <si>
    <t>* The sum of long and short-term debt.</t>
  </si>
  <si>
    <t>* يشمل السوق الرئيسية و السوق الموازية (نمو)</t>
  </si>
  <si>
    <t>الربع الأول عام  2022م
First quarter 2021</t>
  </si>
  <si>
    <t>** يشمل أسهم الشركات المعلقة أو الملغى إدراجها، أسهم شركات الطرح الخاص، أسهم شركات الطرح عن طريق التمويل الجماعي</t>
  </si>
  <si>
    <t>النصف الأول عام  2022م
First half 2022</t>
  </si>
  <si>
    <t>الربع   الأول عام 2019م
First quarter 2019</t>
  </si>
  <si>
    <t>الربع   الأول عام 2020م
First quarter 2020</t>
  </si>
  <si>
    <t>الربع   الثاني عام 2020م
Second quarter 2020</t>
  </si>
  <si>
    <t>الربع   الثالث عام 2020م
Third quarter 2020</t>
  </si>
  <si>
    <t>الربع   الأول عام 2021م
First quarter 2021</t>
  </si>
  <si>
    <t>الربع   الثاني عام 2021م
Second quarter 2021</t>
  </si>
  <si>
    <t>الربع   الثالث عام 2021م
Third quarter 2021</t>
  </si>
  <si>
    <t>الربع   الأول عام 2022م
First quarter 2022</t>
  </si>
  <si>
    <t>*  إجمالي الإيرادات التشغيلية والايردات الأخرى</t>
  </si>
  <si>
    <t>*  Total of operating revenues and other revenues.</t>
  </si>
  <si>
    <t>الربع الأول عام 2019م
First quarter 2019</t>
  </si>
  <si>
    <t>النصف الأول عام 2021م
First Half 2021</t>
  </si>
  <si>
    <t>*المحافظ القائمة سواء احتوت على أسهم أم لم تحتو</t>
  </si>
  <si>
    <t>خلال  الفترة
During  Period</t>
  </si>
  <si>
    <t>* Including main market and parallel market (Nomu)</t>
  </si>
  <si>
    <t>** Including shares of suspended or delisted companies, shares of private placement companies and shares of public offering companies through crowdfunding</t>
  </si>
  <si>
    <t>الربع   الثاني عام 2022م
Second quarter 2022</t>
  </si>
  <si>
    <t>النصف الأول عام 2022م
First Half 2022</t>
  </si>
  <si>
    <t>الربع الثالث عام  2022م
Third quarter 2022</t>
  </si>
  <si>
    <t xml:space="preserve">*  Total of operating revenues and other revenues </t>
  </si>
  <si>
    <t>الإجمالي Total</t>
  </si>
  <si>
    <t xml:space="preserve">الفترة 
Period  </t>
  </si>
  <si>
    <t xml:space="preserve">المؤشر العام لأداء سوق الأسهم السعودي
 (نقطة)  Tadawul All Share Index (TASI) </t>
  </si>
  <si>
    <t>القيمة الإجمالية للأسهم المتداولة
(مليون ريال)  Total Value Traded
(Million Riyals)</t>
  </si>
  <si>
    <t>القيمة السوقية للأسهم المصدرة 
 (مليون ريال)  Market Capitalization
(Million Riyals)</t>
  </si>
  <si>
    <t>القيمة السوقية للأسهم الحرة
(مليون ريال)  Market Capitalization of Free Float Shares
(Million Riyals)</t>
  </si>
  <si>
    <t>عدد الشركات المدرجة  Number of Listed Companies</t>
  </si>
  <si>
    <t>المتوسط اليومي لقيمة الأسهم المتداولة 
(مليون ريال)  Daily Average of Shares Traded 
(Million Riyals)</t>
  </si>
  <si>
    <t>مكرر الربحية 
( السعر للعائد)  Price Earnings Ratio</t>
  </si>
  <si>
    <t>( السعر/القيمة الدفترية)  Price/Book Value Ration</t>
  </si>
  <si>
    <t xml:space="preserve">الفترة 
Period </t>
  </si>
  <si>
    <t xml:space="preserve">المؤشر العام لأداء سوق الأسهم الثانوي نمو
 (نقطة) Tadawul All Share Index (NOMU) </t>
  </si>
  <si>
    <t>القيمة الإجمالية للأسهم المتداولة
(مليون ريال) Total Value Traded
(Million Riyals)</t>
  </si>
  <si>
    <t>القيمة السوقية للأسهم المصدرة 
 (مليون ريال) Market Capitalization
(Million Riyals)</t>
  </si>
  <si>
    <t>القيمة السوقية للأسهم الحرة
(مليون ريال) Market Capitalization of Free Float Shares
(Million Riyals)</t>
  </si>
  <si>
    <t>عدد الشركات المدرجة Number of Listed Companies</t>
  </si>
  <si>
    <t>المتوسط اليومي لقيمة الأسهم المتداولة 
(مليون ريال) Daily Average of Shares Traded 
(Million Riyals)</t>
  </si>
  <si>
    <t xml:space="preserve"> الفترة
 Period   </t>
  </si>
  <si>
    <t>السوق الموازية (نمو)*** ***Nomu Market</t>
  </si>
  <si>
    <t>الفترة Period</t>
  </si>
  <si>
    <t xml:space="preserve">مستثمر مؤسسي*Institutional  Investor* </t>
  </si>
  <si>
    <t>مستثمر غير مؤسسي** Non-Institutional Investor**</t>
  </si>
  <si>
    <t>نهاية الفترة End of Period</t>
  </si>
  <si>
    <t>النصف الأول عام  2015م
First half 2015 | (مليون ريال) 
(Million Riyals)</t>
  </si>
  <si>
    <t>النصف الأول عام  2015م
First half 2015 |  (%)</t>
  </si>
  <si>
    <t>الربع الثالث عام  2015م
Third quarter 2015 | (مليون ريال) 
(Million Riyals)</t>
  </si>
  <si>
    <t>الربع الثالث عام  2015م
Third quarter 2015 |  (%)</t>
  </si>
  <si>
    <t>الربع الأول عام  2016م****
First quarter 2016 | (مليون ريال) 
(Million Riyals)</t>
  </si>
  <si>
    <t>الربع الأول عام  2016م****
First quarter 2016 |  (%)</t>
  </si>
  <si>
    <t>الربع الثاني عام  2016م
Second quarter 2016 | (مليون ريال) 
(Million Riyals)</t>
  </si>
  <si>
    <t>الربع الثاني عام  2016م
Second quarter 2016 |  (%)</t>
  </si>
  <si>
    <t>الربع الثالث عام  2016م*****
Third quarter 2016 | (مليون ريال) 
(Million Riyals)</t>
  </si>
  <si>
    <t>الربع الثالث عام  2016م*****
Third quarter 2016 |  (%)</t>
  </si>
  <si>
    <t>الربع الأول عام  2017م
First quarter 2017 | (مليون ريال) 
(Million Riyals)</t>
  </si>
  <si>
    <t>الربع الأول عام  2017م
First quarter 2017 |  (%)</t>
  </si>
  <si>
    <t>الربع الثاني عام  2017م
Second quarter 2017 | (مليون ريال) 
(Million Riyals)</t>
  </si>
  <si>
    <t>الربع الثاني عام  2017م
Second quarter 2017 |  (%)</t>
  </si>
  <si>
    <t>الربع الثالث عام  2017م
Third quarter 2017 | (مليون ريال) 
(Million Riyals)</t>
  </si>
  <si>
    <t>الربع الثالث عام  2017م
Third quarter 2017 |  (%)</t>
  </si>
  <si>
    <t>الربع الأول عام  2018م******
First quarter 2018 | (مليون ريال) 
(Million Riyals)</t>
  </si>
  <si>
    <t>الربع الأول عام  2018م******
First quarter 2018 |  (%)</t>
  </si>
  <si>
    <t>الربع الثاني عام  2018م
Second quarter 2018 | (مليون ريال) 
(Million Riyals)</t>
  </si>
  <si>
    <t>الربع الثاني عام  2018م
Second quarter 2018 |  (%)</t>
  </si>
  <si>
    <t>الربع الثالث عام  2018م
Third quarter 2018 | (مليون ريال) 
(Million Riyals)</t>
  </si>
  <si>
    <t>الربع الثالث عام  2018م
Third quarter 2018 |  (%)</t>
  </si>
  <si>
    <t>الربع الأول عام  2019م
First quarter 2019 | (مليون ريال) 
(Million Riyals)</t>
  </si>
  <si>
    <t>الربع الأول عام  2019م
First quarter 2019 |  (%)</t>
  </si>
  <si>
    <t>الربع الثاني عام  2019م
Second quarter 2019 | (مليون ريال) 
(Million Riyals)</t>
  </si>
  <si>
    <t>الربع الثاني عام  2019م
Second quarter 2019 |  (%)</t>
  </si>
  <si>
    <t>الربع الثالث عام  2019م
Third quarter 2019 | (مليون ريال) 
(Million Riyals)</t>
  </si>
  <si>
    <t>الربع الثالث عام  2019م
Third quarter 2019 |  (%)</t>
  </si>
  <si>
    <t>الربع الأول عام  2020م
First quarter 2020 | (مليون ريال) 
(Million Riyals)</t>
  </si>
  <si>
    <t>الربع الأول عام  2020م
First quarter 2020 |  (%)</t>
  </si>
  <si>
    <t>الربع الثاني عام  2020م
Second quarter 2020 | (مليون ريال) 
(Million Riyals)</t>
  </si>
  <si>
    <t>الربع الثاني عام  2020م
Second quarter 2020 |  (%)</t>
  </si>
  <si>
    <t>الربع الثالث عام  2020م
Third quarter 2020 | (مليون ريال) 
(Million Riyals)</t>
  </si>
  <si>
    <t>الربع الثالث عام  2020م
Third quarter 2020 |  (%)</t>
  </si>
  <si>
    <t>الربع الأول عام  2021م
First quarter 2021 | (مليون ريال) 
(Million Riyals)</t>
  </si>
  <si>
    <t>الربع الأول عام  2021م
First quarter 2021 |  (%)</t>
  </si>
  <si>
    <t>الربع الثاني عام  2021م
Second quarter 2021 | (مليون ريال) 
(Million Riyals)</t>
  </si>
  <si>
    <t>الربع الثاني عام  2021م
Second quarter 2021 |  (%)</t>
  </si>
  <si>
    <t>الربع الثالث عام  2021م
Third quarter 2021 | (مليون ريال) 
(Million Riyals)</t>
  </si>
  <si>
    <t>الربع الثالث عام  2021م
Third quarter 2021 |  (%)</t>
  </si>
  <si>
    <t>الربع الأول عام  2022م
First quarter 2022 | (مليون ريال) 
(Million Riyals)</t>
  </si>
  <si>
    <t>الربع الأول عام  2022م
First quarter 2022 |  (%)</t>
  </si>
  <si>
    <t>الربع الثاني عام  2022م
Second quarter 2022 | (مليون ريال) 
(Million Riyals)</t>
  </si>
  <si>
    <t>الربع الثاني عام  2022م
Second quarter 2022 |  (%)</t>
  </si>
  <si>
    <t>الربع الثالث عام  2022م
Third quarter 2022 | (مليون ريال) 
(Million Riyals)</t>
  </si>
  <si>
    <t>الربع الثالث عام  2022م
Third quarter 2022 |  (%)</t>
  </si>
  <si>
    <t>الربع الأول عام  2016م***
First quarter 2016 | (مليون ريال) 
(Million Riyals)</t>
  </si>
  <si>
    <t>الربع الأول عام  2016م***
First quarter 2016 |  (%)</t>
  </si>
  <si>
    <t>الربع الثالث عام  2016م****
Third quarter 2016 | (مليون ريال) 
(Million Riyals)</t>
  </si>
  <si>
    <t>الربع الثالث عام  2016م****
Third quarter 2016 |  (%)</t>
  </si>
  <si>
    <t>الربع الأول عام 2018م*****
First quarter 2018 | (مليون ريال) 
(Million Riyals)</t>
  </si>
  <si>
    <t>الربع الأول عام 2018م*****
First quarter 2018 |  (%)</t>
  </si>
  <si>
    <t>النصف الأول عام  2015م
First half 2015 | بيع
Sell | (مليون ريال) 
(Million Riyals)</t>
  </si>
  <si>
    <t>النصف الأول عام  2015م
First half 2015 | بيع
Sell |  (%)</t>
  </si>
  <si>
    <t xml:space="preserve">النصف الأول عام  2015م
First half 2015 | شراء
Buy | (مليون ريال) </t>
  </si>
  <si>
    <t>النصف الأول عام  2015م
First half 2015 | شراء
Buy |  (%)</t>
  </si>
  <si>
    <t>الربع الثالث عام  2015م
Third quarter 2015 | بيع
Sell | (مليون ريال) 
(Million Riyals)</t>
  </si>
  <si>
    <t>الربع الثالث عام  2015م
Third quarter 2015 | بيع
Sell |  (%)</t>
  </si>
  <si>
    <t xml:space="preserve">الربع الثالث عام  2015م
Third quarter 2015 | شراء
Buy | (مليون ريال) </t>
  </si>
  <si>
    <t>الربع الثالث عام  2015م
Third quarter 2015 | شراء
Buy |  (%)</t>
  </si>
  <si>
    <t>الربع الأول عام  2016م
First quarter 2016 | بيع
Sell | (مليون ريال) 
(Million Riyals)</t>
  </si>
  <si>
    <t>الربع الأول عام  2016م
First quarter 2016 | بيع
Sell |  (%)</t>
  </si>
  <si>
    <t xml:space="preserve">الربع الأول عام  2016م
First quarter 2016 | شراء
Buy | (مليون ريال) </t>
  </si>
  <si>
    <t>الربع الأول عام  2016م
First quarter 2016 | شراء
Buy |  (%)</t>
  </si>
  <si>
    <t>الربع الثاني عام  2016م
Second quarter 2016 | بيع
Sell | (مليون ريال) 
(Million Riyals)</t>
  </si>
  <si>
    <t>الربع الثاني عام  2016م
Second quarter 2016 | بيع
Sell |  (%)</t>
  </si>
  <si>
    <t xml:space="preserve">الربع الثاني عام  2016م
Second quarter 2016 | شراء
Buy | (مليون ريال) </t>
  </si>
  <si>
    <t>الربع الثاني عام  2016م
Second quarter 2016 | شراء
Buy |  (%)</t>
  </si>
  <si>
    <t>الربع الثالث عام  2016م
Third quarter 2016 | بيع
Sell | (مليون ريال) 
(Million Riyals)</t>
  </si>
  <si>
    <t>الربع الثالث عام  2016م
Third quarter 2016 | بيع
Sell |  (%)</t>
  </si>
  <si>
    <t xml:space="preserve">الربع الثالث عام  2016م
Third quarter 2016 | شراء
Buy | (مليون ريال) </t>
  </si>
  <si>
    <t>الربع الثالث عام  2016م
Third quarter 2016 | شراء
Buy |  (%)</t>
  </si>
  <si>
    <t>الربع الأول عام  2017م
First quarter 2017 | بيع
Sell | (مليون ريال) 
(Million Riyals)</t>
  </si>
  <si>
    <t>الربع الأول عام  2017م
First quarter 2017 | بيع
Sell |  (%)</t>
  </si>
  <si>
    <t xml:space="preserve">الربع الأول عام  2017م
First quarter 2017 | شراء
Buy | (مليون ريال) </t>
  </si>
  <si>
    <t>الربع الأول عام  2017م
First quarter 2017 | شراء
Buy |  (%)</t>
  </si>
  <si>
    <t>الربع الثاني عام  2017م
Second quarter 2017 | بيع
Sell | (مليون ريال) 
(Million Riyals)</t>
  </si>
  <si>
    <t>الربع الثاني عام  2017م
Second quarter 2017 | بيع
Sell |  (%)</t>
  </si>
  <si>
    <t xml:space="preserve">الربع الثاني عام  2017م
Second quarter 2017 | شراء
Buy | (مليون ريال) </t>
  </si>
  <si>
    <t>الربع الثاني عام  2017م
Second quarter 2017 | شراء
Buy |  (%)</t>
  </si>
  <si>
    <t>الربع الثالث عام  2017م
Third quarter 2017 | بيع
Sell | (مليون ريال) 
(Million Riyals)</t>
  </si>
  <si>
    <t>الربع الثالث عام  2017م
Third quarter 2017 | بيع
Sell |  (%)</t>
  </si>
  <si>
    <t xml:space="preserve">الربع الثالث عام  2017م
Third quarter 2017 | شراء
Buy | (مليون ريال) </t>
  </si>
  <si>
    <t>الربع الثالث عام  2017م
Third quarter 2017 | شراء
Buy |  (%)</t>
  </si>
  <si>
    <t>الربع الأول عام  2018م*
First quarter 2018 | بيع
Sell | (مليون ريال) 
(Million Riyals)</t>
  </si>
  <si>
    <t>الربع الأول عام  2018م*
First quarter 2018 | بيع
Sell |  (%)</t>
  </si>
  <si>
    <t xml:space="preserve">الربع الأول عام  2018م*
First quarter 2018 | شراء
Buy | (مليون ريال) </t>
  </si>
  <si>
    <t>الربع الأول عام  2018م*
First quarter 2018 | شراء
Buy |  (%)</t>
  </si>
  <si>
    <t>الربع الثاني عام  2018م*
Second quarter 2018 | بيع
Sell | (مليون ريال) 
(Million Riyals)</t>
  </si>
  <si>
    <t>الربع الثاني عام  2018م*
Second quarter 2018 | بيع
Sell |  (%)</t>
  </si>
  <si>
    <t xml:space="preserve">الربع الثاني عام  2018م*
Second quarter 2018 | شراء
Buy | (مليون ريال) </t>
  </si>
  <si>
    <t>الربع الثاني عام  2018م*
Second quarter 2018 | شراء
Buy |  (%)</t>
  </si>
  <si>
    <t>الربع الثالث  عام  2018م*
Third quarter 2018 | بيع
Sell | (مليون ريال) 
(Million Riyals)</t>
  </si>
  <si>
    <t>الربع الثالث  عام  2018م*
Third quarter 2018 | بيع
Sell |  (%)</t>
  </si>
  <si>
    <t xml:space="preserve">الربع الثالث  عام  2018م*
Third quarter 2018 | شراء
Buy | (مليون ريال) </t>
  </si>
  <si>
    <t>الربع الثالث  عام  2018م*
Third quarter 2018 | شراء
Buy |  (%)</t>
  </si>
  <si>
    <t>الربع الأول  عام  2019م*
First quarter 2019 | بيع
Sell | (مليون ريال) 
(Million Riyals)</t>
  </si>
  <si>
    <t>الربع الأول  عام  2019م*
First quarter 2019 | بيع
Sell |  (%)</t>
  </si>
  <si>
    <t xml:space="preserve">الربع الأول  عام  2019م*
First quarter 2019 | شراء
Buy | (مليون ريال) </t>
  </si>
  <si>
    <t>الربع الأول  عام  2019م*
First quarter 2019 | شراء
Buy |  (%)</t>
  </si>
  <si>
    <t>الربع الثاني  عام  2019م
Second quarter 2019 | بيع
Sell | (مليون ريال) 
(Million Riyals)</t>
  </si>
  <si>
    <t>الربع الثاني  عام  2019م
Second quarter 2019 | بيع
Sell |  (%)</t>
  </si>
  <si>
    <t xml:space="preserve">الربع الثاني  عام  2019م
Second quarter 2019 | شراء
Buy | (مليون ريال) </t>
  </si>
  <si>
    <t>الربع الثاني  عام  2019م
Second quarter 2019 | شراء
Buy |  (%)</t>
  </si>
  <si>
    <t>الربع الثالث عام  2019م
Third quarter 2019 | بيع
Sell | (مليون ريال) 
(Million Riyals)</t>
  </si>
  <si>
    <t>الربع الثالث عام  2019م
Third quarter 2019 | بيع
Sell |  (%)</t>
  </si>
  <si>
    <t xml:space="preserve">الربع الثالث عام  2019م
Third quarter 2019 | شراء
Buy | (مليون ريال) </t>
  </si>
  <si>
    <t>الربع الثالث عام  2019م
Third quarter 2019 | شراء
Buy |  (%)</t>
  </si>
  <si>
    <t>الربع الأول عام  2020م
First quarter 2020 | بيع
Sell | (مليون ريال) 
(Million Riyals)</t>
  </si>
  <si>
    <t>الربع الأول عام  2020م
First quarter 2020 | بيع
Sell |  (%)</t>
  </si>
  <si>
    <t xml:space="preserve">الربع الأول عام  2020م
First quarter 2020 | شراء
Buy | (مليون ريال) </t>
  </si>
  <si>
    <t>الربع الأول عام  2020م
First quarter 2020 | شراء
Buy |  (%)</t>
  </si>
  <si>
    <t>الربع الثاني عام  2020م
Second quarter 2020 | بيع
Sell | (مليون ريال) 
(Million Riyals)</t>
  </si>
  <si>
    <t>الربع الثاني عام  2020م
Second quarter 2020 | بيع
Sell |  (%)</t>
  </si>
  <si>
    <t xml:space="preserve">الربع الثاني عام  2020م
Second quarter 2020 | شراء
Buy | (مليون ريال) </t>
  </si>
  <si>
    <t>الربع الثاني عام  2020م
Second quarter 2020 | شراء
Buy |  (%)</t>
  </si>
  <si>
    <t>الربع الثالث عام  2020م
Third quarter 2020 | بيع
Sell | (مليون ريال) 
(Million Riyals)</t>
  </si>
  <si>
    <t>الربع الثالث عام  2020م
Third quarter 2020 | بيع
Sell |  (%)</t>
  </si>
  <si>
    <t xml:space="preserve">الربع الثالث عام  2020م
Third quarter 2020 | شراء
Buy | (مليون ريال) </t>
  </si>
  <si>
    <t>الربع الثالث عام  2020م
Third quarter 2020 | شراء
Buy |  (%)</t>
  </si>
  <si>
    <t>الربع الأول عام  2021م
First quarter 2021 | بيع
Sell | (مليون ريال) 
(Million Riyals)</t>
  </si>
  <si>
    <t>الربع الأول عام  2021م
First quarter 2021 | بيع
Sell |  (%)</t>
  </si>
  <si>
    <t>الربع الأول عام  2021م
First quarter 2021 | شراء
Buy | (مليون ريال) 
(Million Riyals)</t>
  </si>
  <si>
    <t>الربع الأول عام  2021م
First quarter 2021 | شراء
Buy |  (%)</t>
  </si>
  <si>
    <t>الربع الثاني عام  2021م
Second quarter 2021 | بيع
Sell | (مليون ريال) 
(Million Riyals)</t>
  </si>
  <si>
    <t>الربع الثاني عام  2021م
Second quarter 2021 | بيع
Sell |  (%)</t>
  </si>
  <si>
    <t>الربع الثاني عام  2021م
Second quarter 2021 | شراء
Buy | (مليون ريال) 
(Million Riyals)</t>
  </si>
  <si>
    <t>الربع الثاني عام  2021م
Second quarter 2021 | شراء
Buy |  (%)</t>
  </si>
  <si>
    <t>الربع الثالث عام  2021م
Third quarter 2021 | بيع
Sell | (مليون ريال) 
(Million Riyals)</t>
  </si>
  <si>
    <t>الربع الثالث عام  2021م
Third quarter 2021 | بيع
Sell |  (%)</t>
  </si>
  <si>
    <t>الربع الثالث عام  2021م
Third quarter 2021 | شراء
Buy | (مليون ريال) 
(Million Riyals)</t>
  </si>
  <si>
    <t>الربع الثالث عام  2021م
Third quarter 2021 | شراء
Buy |  (%)</t>
  </si>
  <si>
    <t>الربع الأول عام  2022م
First quarter 2022 | بيع
Sell | (مليون ريال) 
(Million Riyals)</t>
  </si>
  <si>
    <t>الربع الأول عام  2022م
First quarter 2022 | بيع
Sell |  (%)</t>
  </si>
  <si>
    <t>الربع الأول عام  2022م
First quarter 2022 | شراء
Buy | (مليون ريال) 
(Million Riyals)</t>
  </si>
  <si>
    <t>الربع الأول عام  2022م
First quarter 2022 | شراء
Buy |  (%)</t>
  </si>
  <si>
    <t>الربع الثاني عام  2022م
Second quarter 2022 | بيع
Sell | (مليون ريال) 
(Million Riyals)</t>
  </si>
  <si>
    <t>الربع الثاني عام  2022م
Second quarter 2022 | بيع
Sell |  (%)</t>
  </si>
  <si>
    <t>الربع الثاني عام  2022م
Second quarter 2022 | شراء
Buy | (مليون ريال) 
(Million Riyals)</t>
  </si>
  <si>
    <t>الربع الثاني عام  2022م
Second quarter 2022 | شراء
Buy |  (%)</t>
  </si>
  <si>
    <t>الربع الثالث عام  2022م
Third quarter 2022 | بيع
Sell | (مليون ريال) 
(Million Riyals)</t>
  </si>
  <si>
    <t>الربع الثالث عام  2022م
Third quarter 2022 | بيع
Sell |  (%)</t>
  </si>
  <si>
    <t>الربع الثالث عام  2022م
Third quarter 2022 | شراء
Buy | (مليون ريال) 
(Million Riyals)</t>
  </si>
  <si>
    <t>الربع الثالث عام  2022م
Third quarter 2022 | شراء
Buy |  (%)</t>
  </si>
  <si>
    <t>خلال الفترة During Period</t>
  </si>
  <si>
    <t>مستثمر مؤسسي* Institutional  Investor*</t>
  </si>
  <si>
    <t>النصف الأول عام  2015م
First half 2015 بيع
Sell (مليون ريال) 
(Million Riyals)</t>
  </si>
  <si>
    <t>النصف الأول عام  2015م
First half 2015 بيع
Sell  (%)</t>
  </si>
  <si>
    <t xml:space="preserve">النصف الأول عام  2015م
First half 2015 شراء
Buy (مليون ريال) </t>
  </si>
  <si>
    <t>النصف الأول عام  2015م
First half 2015 شراء
Buy  (%)</t>
  </si>
  <si>
    <t>الربع الثالث عام  2015م
Third quarter 2015 بيع
Sell (مليون ريال) 
(Million Riyals)</t>
  </si>
  <si>
    <t>الربع الثالث عام  2015م
Third quarter 2015 بيع
Sell  (%)</t>
  </si>
  <si>
    <t xml:space="preserve">الربع الثالث عام  2015م
Third quarter 2015 شراء
Buy (مليون ريال) </t>
  </si>
  <si>
    <t>الربع الثالث عام  2015م
Third quarter 2015 شراء
Buy  (%)</t>
  </si>
  <si>
    <t>الربع الأول عام  2016م
First quarter 2016 بيع
Sell (مليون ريال) 
(Million Riyals)</t>
  </si>
  <si>
    <t>الربع الأول عام  2016م
First quarter 2016 بيع
Sell  (%)</t>
  </si>
  <si>
    <t xml:space="preserve">الربع الأول عام  2016م
First quarter 2016 شراء
Buy (مليون ريال) </t>
  </si>
  <si>
    <t>الربع الأول عام  2016م
First quarter 2016 شراء
Buy  (%)</t>
  </si>
  <si>
    <t>الربع الثاني عام  2016م
Second quarter 2016 بيع
Sell (مليون ريال) 
(Million Riyals)</t>
  </si>
  <si>
    <t>الربع الثاني عام  2016م
Second quarter 2016 بيع
Sell  (%)</t>
  </si>
  <si>
    <t xml:space="preserve">الربع الثاني عام  2016م
Second quarter 2016 شراء
Buy (مليون ريال) </t>
  </si>
  <si>
    <t>الربع الثاني عام  2016م
Second quarter 2016 شراء
Buy  (%)</t>
  </si>
  <si>
    <t>الربع الثالث عام  2016م
Third quarter 2016 بيع
Sell (مليون ريال) 
(Million Riyals)</t>
  </si>
  <si>
    <t>الربع الثالث عام  2016م
Third quarter 2016 بيع
Sell  (%)</t>
  </si>
  <si>
    <t xml:space="preserve">الربع الثالث عام  2016م
Third quarter 2016 شراء
Buy (مليون ريال) </t>
  </si>
  <si>
    <t>الربع الثالث عام  2016م
Third quarter 2016 شراء
Buy  (%)</t>
  </si>
  <si>
    <t>الربع الأول عام  2017م
First quarter 2017 بيع
Sell (مليون ريال) 
(Million Riyals)</t>
  </si>
  <si>
    <t>الربع الأول عام  2017م
First quarter 2017 بيع
Sell  (%)</t>
  </si>
  <si>
    <t xml:space="preserve">الربع الأول عام  2017م
First quarter 2017 شراء
Buy (مليون ريال) </t>
  </si>
  <si>
    <t>الربع الأول عام  2017م
First quarter 2017 شراء
Buy  (%)</t>
  </si>
  <si>
    <t>الربع الثاني عام  2017م
Second quarter 2017 بيع
Sell (مليون ريال) 
(Million Riyals)</t>
  </si>
  <si>
    <t>الربع الثاني عام  2017م
Second quarter 2017 بيع
Sell  (%)</t>
  </si>
  <si>
    <t xml:space="preserve">الربع الثاني عام  2017م
Second quarter 2017 شراء
Buy (مليون ريال) </t>
  </si>
  <si>
    <t>الربع الثاني عام  2017م
Second quarter 2017 شراء
Buy  (%)</t>
  </si>
  <si>
    <t>الربع الثالث عام  2017م
Third quarter 2017 بيع
Sell (مليون ريال) 
(Million Riyals)</t>
  </si>
  <si>
    <t>الربع الثالث عام  2017م
Third quarter 2017 بيع
Sell  (%)</t>
  </si>
  <si>
    <t xml:space="preserve">الربع الثالث عام  2017م
Third quarter 2017 شراء
Buy (مليون ريال) </t>
  </si>
  <si>
    <t>الربع الثالث عام  2017م
Third quarter 2017 شراء
Buy  (%)</t>
  </si>
  <si>
    <t>الربع الأول عام  2018م
First quarter 2018 بيع
Sell (مليون ريال) 
(Million Riyals)</t>
  </si>
  <si>
    <t>الربع الأول عام  2018م
First quarter 2018 بيع
Sell  (%)</t>
  </si>
  <si>
    <t xml:space="preserve">الربع الأول عام  2018م
First quarter 2018 شراء
Buy (مليون ريال) </t>
  </si>
  <si>
    <t>الربع الأول عام  2018م
First quarter 2018 شراء
Buy  (%)</t>
  </si>
  <si>
    <t>الربع الثاني عام  2018م
Second quarter 2018 بيع
Sell (مليون ريال) 
(Million Riyals)</t>
  </si>
  <si>
    <t>الربع الثاني عام  2018م
Second quarter 2018 بيع
Sell  (%)</t>
  </si>
  <si>
    <t xml:space="preserve">الربع الثاني عام  2018م
Second quarter 2018 شراء
Buy (مليون ريال) </t>
  </si>
  <si>
    <t>الربع الثاني عام  2018م
Second quarter 2018 شراء
Buy  (%)</t>
  </si>
  <si>
    <t>الربع الثالث عام  2018م
Third quarter 2018 بيع
Sell (مليون ريال) 
(Million Riyals)</t>
  </si>
  <si>
    <t>الربع الثالث عام  2018م
Third quarter 2018 بيع
Sell  (%)</t>
  </si>
  <si>
    <t xml:space="preserve">الربع الثالث عام  2018م
Third quarter 2018 شراء
Buy (مليون ريال) </t>
  </si>
  <si>
    <t>الربع الثالث عام  2018م
Third quarter 2018 شراء
Buy  (%)</t>
  </si>
  <si>
    <t>الربع الأول عام  2019م
First quarter 2019 بيع
Sell (مليون ريال) 
(Million Riyals)</t>
  </si>
  <si>
    <t>الربع الأول عام  2019م
First quarter 2019 بيع
Sell  (%)</t>
  </si>
  <si>
    <t xml:space="preserve">الربع الأول عام  2019م
First quarter 2019 شراء
Buy (مليون ريال) </t>
  </si>
  <si>
    <t>الربع الأول عام  2019م
First quarter 2019 شراء
Buy  (%)</t>
  </si>
  <si>
    <t>الربع الثاني عام  2019م
Second quarter 2019 بيع
Sell (مليون ريال) 
(Million Riyals)</t>
  </si>
  <si>
    <t>الربع الثاني عام  2019م
Second quarter 2019 بيع
Sell  (%)</t>
  </si>
  <si>
    <t xml:space="preserve">الربع الثاني عام  2019م
Second quarter 2019 شراء
Buy (مليون ريال) </t>
  </si>
  <si>
    <t>الربع الثاني عام  2019م
Second quarter 2019 شراء
Buy  (%)</t>
  </si>
  <si>
    <t>الربع الثالث عام  2019م
Third quarter 2019 بيع
Sell (مليون ريال) 
(Million Riyals)</t>
  </si>
  <si>
    <t>الربع الثالث عام  2019م
Third quarter 2019 بيع
Sell  (%)</t>
  </si>
  <si>
    <t xml:space="preserve">الربع الثالث عام  2019م
Third quarter 2019 شراء
Buy (مليون ريال) </t>
  </si>
  <si>
    <t>الربع الثالث عام  2019م
Third quarter 2019 شراء
Buy  (%)</t>
  </si>
  <si>
    <t>الربع الأول عام  2020م
First quarter 2020 بيع
Sell (مليون ريال) 
(Million Riyals)</t>
  </si>
  <si>
    <t>الربع الأول عام  2020م
First quarter 2020 بيع
Sell  (%)</t>
  </si>
  <si>
    <t xml:space="preserve">الربع الأول عام  2020م
First quarter 2020 شراء
Buy (مليون ريال) </t>
  </si>
  <si>
    <t>الربع الأول عام  2020م
First quarter 2020 شراء
Buy  (%)</t>
  </si>
  <si>
    <t>الربع الثاني عام  2020م
Second quarter 2020 بيع
Sell (مليون ريال) 
(Million Riyals)</t>
  </si>
  <si>
    <t>الربع الثاني عام  2020م
Second quarter 2020 بيع
Sell  (%)</t>
  </si>
  <si>
    <t xml:space="preserve">الربع الثاني عام  2020م
Second quarter 2020 شراء
Buy (مليون ريال) </t>
  </si>
  <si>
    <t>الربع الثاني عام  2020م
Second quarter 2020 شراء
Buy  (%)</t>
  </si>
  <si>
    <t>الربع الثالث عام  2020م
Third quarter 2020 بيع
Sell (مليون ريال) 
(Million Riyals)</t>
  </si>
  <si>
    <t>الربع الثالث عام  2020م
Third quarter 2020 بيع
Sell  (%)</t>
  </si>
  <si>
    <t>الربع الثالث عام  2020م
Third quarter 2020 شراء
Buy (مليون ريال) 
(Million Riyals)</t>
  </si>
  <si>
    <t>الربع الثالث عام  2020م
Third quarter 2020 شراء
Buy  (%)</t>
  </si>
  <si>
    <t>الربع الأول عام  2021م
First quarter 2021 بيع
Sell (مليون ريال) 
(Million Riyals)</t>
  </si>
  <si>
    <t>الربع الأول عام  2021م
First quarter 2021 بيع
Sell  (%)</t>
  </si>
  <si>
    <t>الربع الأول عام  2021م
First quarter 2021 شراء
Buy (مليون ريال) 
(Million Riyals)</t>
  </si>
  <si>
    <t>الربع الأول عام  2021م
First quarter 2021 شراء
Buy  (%)</t>
  </si>
  <si>
    <t>الربع الثاني عام  2021م
Second quarter 2021 بيع
Sell (مليون ريال) 
(Million Riyals)</t>
  </si>
  <si>
    <t>الربع الثاني عام  2021م
Second quarter 2021 بيع
Sell  (%)</t>
  </si>
  <si>
    <t>الربع الثاني عام  2021م
Second quarter 2021 شراء
Buy (مليون ريال) 
(Million Riyals)</t>
  </si>
  <si>
    <t>الربع الثاني عام  2021م
Second quarter 2021 شراء
Buy  (%)</t>
  </si>
  <si>
    <t>الربع الثالث عام  2021م
Third quarter 2021 بيع
Sell (مليون ريال) 
(Million Riyals)</t>
  </si>
  <si>
    <t>الربع الثالث عام  2021م
Third quarter 2021 بيع
Sell  (%)</t>
  </si>
  <si>
    <t>الربع الثالث عام  2021م
Third quarter 2021 شراء
Buy (مليون ريال) 
(Million Riyals)</t>
  </si>
  <si>
    <t>الربع الثالث عام  2021م
Third quarter 2021 شراء
Buy  (%)</t>
  </si>
  <si>
    <t>الربع الأول عام  2022م
First quarter 2022 بيع
Sell (مليون ريال) 
(Million Riyals)</t>
  </si>
  <si>
    <t>الربع الأول عام  2022م
First quarter 2022 بيع
Sell  (%)</t>
  </si>
  <si>
    <t>الربع الأول عام  2022م
First quarter 2022 شراء
Buy (مليون ريال) 
(Million Riyals)</t>
  </si>
  <si>
    <t>الربع الأول عام  2022م
First quarter 2022 شراء
Buy  (%)</t>
  </si>
  <si>
    <t>الربع الثاني عام  2022م
Second quarter 2022 بيع
Sell (مليون ريال) 
(Million Riyals)</t>
  </si>
  <si>
    <t>الربع الثاني عام  2022م
Second quarter 2022 بيع
Sell  (%)</t>
  </si>
  <si>
    <t>الربع الثاني عام  2022م
Second quarter 2022 شراء
Buy (مليون ريال) 
(Million Riyals)</t>
  </si>
  <si>
    <t>الربع الثاني عام  2022م
Second quarter 2022 شراء
Buy  (%)</t>
  </si>
  <si>
    <t>الربع الثالث عام  2022م
Third quarter 2022 بيع
Sell (مليون ريال) 
(Million Riyals)</t>
  </si>
  <si>
    <t>الربع الثالث عام  2022م
Third quarter 2022 بيع
Sell  (%)</t>
  </si>
  <si>
    <t>الربع الثالث عام  2022م
Third quarter 2022 شراء
Buy (مليون ريال) 
(Million Riyals)</t>
  </si>
  <si>
    <t>الربع الثالث عام  2022م
Third quarter 2022 شراء
Buy  (%)</t>
  </si>
  <si>
    <t xml:space="preserve"> 
  إدارة وتطوير العقارات Real Estate Mgmt &amp; Dev't </t>
  </si>
  <si>
    <t xml:space="preserve"> 
  الادوية  Pharma, Biotech &amp; Life Science </t>
  </si>
  <si>
    <t xml:space="preserve"> 
  الخدمات الاستهلاكية  Consumer Services</t>
  </si>
  <si>
    <t xml:space="preserve"> 
  الخدمات التجارية والمهنية Commercial &amp; Professional Svc </t>
  </si>
  <si>
    <t xml:space="preserve"> 
  الرعاية الصحية    Health Care Equipment &amp; Svc </t>
  </si>
  <si>
    <t xml:space="preserve"> 
  السلع الرأسمالية  Capital Goods </t>
  </si>
  <si>
    <t xml:space="preserve"> 
  السلع طويلة الاجل Consumer Durables &amp; Apparel</t>
  </si>
  <si>
    <t xml:space="preserve"> 
  الطاقة Energy </t>
  </si>
  <si>
    <t xml:space="preserve"> 
  المرافق العامة Utilities </t>
  </si>
  <si>
    <t xml:space="preserve"> 
  المواد الأساسية Materials </t>
  </si>
  <si>
    <t xml:space="preserve"> 
  النقل Transportation </t>
  </si>
  <si>
    <t xml:space="preserve"> 
  إنتاج الأغذية  Food &amp; Beverages </t>
  </si>
  <si>
    <t xml:space="preserve"> 
  البنوك Banks </t>
  </si>
  <si>
    <t xml:space="preserve"> 
  التأمين Insurance </t>
  </si>
  <si>
    <t xml:space="preserve"> 
  التطبيقات وخدمات التقنية Software &amp; Services</t>
  </si>
  <si>
    <t xml:space="preserve"> 
  الادوية Pharma, Biotech &amp; Life Science </t>
  </si>
  <si>
    <t xml:space="preserve"> 
  الخدمات الاستهلاكية Consumer Services</t>
  </si>
  <si>
    <t xml:space="preserve"> 
  السلع الرأسمالية Capital Goods </t>
  </si>
  <si>
    <t xml:space="preserve">  إدارة وتطوير العقارات Real Estate Mgmt &amp; Dev't </t>
  </si>
  <si>
    <t xml:space="preserve">  الرعاية الصحية    Health Care Equipment &amp; Svc </t>
  </si>
  <si>
    <t xml:space="preserve">  المرافق العامة Utilities </t>
  </si>
  <si>
    <t xml:space="preserve">  المواد الأساسية Materials </t>
  </si>
  <si>
    <t xml:space="preserve">  الأجهزة والمعدات التقنية Technology Hardware &amp; Equipment</t>
  </si>
  <si>
    <t xml:space="preserve">  الخدمات التجارية والمهنية Commercial &amp; Professional Svc</t>
  </si>
  <si>
    <t xml:space="preserve">  التطبيقات وخدمات التقنية  Software &amp; Services</t>
  </si>
  <si>
    <t>الربع  الثالث عام 2022م
Third quarter 2022</t>
  </si>
  <si>
    <t>إجمالي إيرادات السوق الرئيسية (تاسي) Main Market Total Revenues</t>
  </si>
  <si>
    <t>صافي دخل السوق الرئيسية (تاسي) Main Market Net Income</t>
  </si>
  <si>
    <t>حقوق المساهمين في السوق الرئيسية (تاسي) Main Market Shareholders Equity</t>
  </si>
  <si>
    <t xml:space="preserve">إجمالي الأصول في السوق الرئيسية (تاسي)  Main Market Total Assets </t>
  </si>
  <si>
    <t>إجمالي الدين**في السوق الرئيسية (تاسي) Main Market Total Debt**</t>
  </si>
  <si>
    <t>كبار المستثمرين الأفراد * السعوديون
Saudi High Net Worth Investors  (HNWIs) *</t>
  </si>
  <si>
    <t>المستثمرون الأفراد السعوديون
Saudi Retail</t>
  </si>
  <si>
    <t>المستثمرون الأفراد المتخصصون السعوديون**  
Saudi Individual Professional Investors (IPIs)**</t>
  </si>
  <si>
    <t>محافظ الأفراد المدارة السعوديون 
Saudi Individual DPMs</t>
  </si>
  <si>
    <t>شركات سعودية
Saudi Corporates</t>
  </si>
  <si>
    <t xml:space="preserve">الصناديق الاستثمارية السعودية  
Saudi Mutual Funds </t>
  </si>
  <si>
    <t>الجهات الحكومية السعودية
Saudi Government Related Entities (GREs)</t>
  </si>
  <si>
    <t>محافظ المؤسسات المدارة السعودية
Saudi Institutional DPMs</t>
  </si>
  <si>
    <t>الأفراد الخليجيون 
GCC  Individuals</t>
  </si>
  <si>
    <t>المؤسسات الخليجية
GCC Institutions</t>
  </si>
  <si>
    <t xml:space="preserve"> المحافظ المدارة الخليجية 
 GCC DPMs </t>
  </si>
  <si>
    <t>اتفاقيات المبادلة الأجنبية
Foreigner  SWAP Holders</t>
  </si>
  <si>
    <t>المستثمرون المقيمون الأجانب 
Foreigner Foreign Residents</t>
  </si>
  <si>
    <t>المستثمرون  المؤهلون الأجانب
Foreigner *** QFIs***</t>
  </si>
  <si>
    <t xml:space="preserve">الشركاء الاستراتيجيون الأجانب
Foreigner Strategic Partners </t>
  </si>
  <si>
    <t xml:space="preserve">المحافظ المدارة الأجنبية
Foreigner Foreign DPMs </t>
  </si>
  <si>
    <t>مؤسسات الجهات الحكومية السعودية
Saudi Government Related Entities (GREs)</t>
  </si>
  <si>
    <t xml:space="preserve">(أسهم**) عدد الصفقات ( Equities**) Number of Trades </t>
  </si>
  <si>
    <t>(أسهم**) القيمة ( Equities**) Value</t>
  </si>
  <si>
    <t>عدد صفقات الصكوك والسندات Sukuk and Bonds Number of Trades</t>
  </si>
  <si>
    <t>قيمة الصكوك والسندات Sukuk and Bonds Value</t>
  </si>
  <si>
    <t>إجمالي عدد الصفقات
 (مليون ريال) Total
 (Million Riyals)Number of Trades</t>
  </si>
  <si>
    <t>إجمالي القيمة
 (مليون ريال) Total
 (Million Riyals)  Value</t>
  </si>
  <si>
    <t>المستثمرون المؤهلون الأجانب
Foreigner *** QFIs***</t>
  </si>
  <si>
    <t>إجمالي إيرادات السوق الموازية (نمو)*** ***Nomu Market Total Revenues</t>
  </si>
  <si>
    <t>صافي دخل السوق الموازية (نمو)*** ***Nomu Market Net Income</t>
  </si>
  <si>
    <t>حقوق المساهمين في السوق الموازية (نمو)*** ***Nomu Market Shareholders Equity</t>
  </si>
  <si>
    <t xml:space="preserve">إجمالي الأصول في السوق الموازية (نمو)******Nomu Market Total Assets </t>
  </si>
  <si>
    <t>إجمالي الدين في السوق الموازية (نمو)***  ***Nomu Market Total Debt</t>
  </si>
  <si>
    <t>الربع الأول عام  2023م
First quarter 2023</t>
  </si>
  <si>
    <t>الربع الأول عام  2023م
First quarter 2023 | (مليون ريال) 
(Million Riyals)</t>
  </si>
  <si>
    <t>الربع الأول عام  2023م
First quarter 2023 |  (%)</t>
  </si>
  <si>
    <t>الربع الأول عام  2023م
First quarter 2023 | بيع
Sell | (مليون ريال) 
(Million Riyals)</t>
  </si>
  <si>
    <t>الربع الأول عام  2023م
First quarter 2023 | بيع
Sell |  (%)</t>
  </si>
  <si>
    <t>الربع الأول عام  2023م
First quarter 2023 | شراء
Buy | (مليون ريال) 
(Million Riyals)</t>
  </si>
  <si>
    <t>الربع الأول عام  2023م
First quarter 2023 | شراء
Buy |  (%)</t>
  </si>
  <si>
    <t>and CMA approved the company's request</t>
  </si>
  <si>
    <t>**Arabian Waterproofing Industries Company (Awazel) has requested the cancellation of the initial public offering-</t>
  </si>
  <si>
    <t xml:space="preserve"> عام  2021م
  2021</t>
  </si>
  <si>
    <t xml:space="preserve"> عام  2022م
 2022</t>
  </si>
  <si>
    <t xml:space="preserve"> عام  2019م
 2019</t>
  </si>
  <si>
    <t>عام  2020م
 2020</t>
  </si>
  <si>
    <t xml:space="preserve"> عام 2021م
2021</t>
  </si>
  <si>
    <t xml:space="preserve"> عام 2022م
 2022</t>
  </si>
  <si>
    <t>الربع الثاني عام  2023م
Second quarter 2023</t>
  </si>
  <si>
    <t>الربع الثاني عام 2023م
Second quarter 2023</t>
  </si>
  <si>
    <t>الربع الثاني عام  2023م
Second quarter 2023 | (مليون ريال) 
(Million Riyals)</t>
  </si>
  <si>
    <t>الربع الثاني عام  2023م
Second quarter 2023 |  (%)</t>
  </si>
  <si>
    <t>الربع الثاني عام  2023م
Second quarter 2023 | بيع
Sell | (مليون ريال) 
(Million Riyals)</t>
  </si>
  <si>
    <t>الربع الثاني عام  2023م
Second quarter 2023 | بيع
Sell |  (%)</t>
  </si>
  <si>
    <t>الربع الثاني عام  2023م
Second quarter 2023 | شراء
Buy | (مليون ريال) 
(Million Riyals)</t>
  </si>
  <si>
    <t>الربع الثاني عام  2023م
Second quarter 2023 | شراء
Buy |  (%)</t>
  </si>
  <si>
    <t>الربع الثالث عام  2023م
Third quarter 2023</t>
  </si>
  <si>
    <t>الربع الثالث عام  2023م
Third quarter 2023 | بيع
Sell | (مليون ريال) 
(Million Riyals)</t>
  </si>
  <si>
    <t>الربع الثالث عام  2023م
Third quarter 2023 | بيع
Sell |  (%)</t>
  </si>
  <si>
    <t>الربع الثالث عام  2023م
Third quarter 2023 | شراء
Buy | (مليون ريال) 
(Million Riyals)</t>
  </si>
  <si>
    <t>الربع الثالث عام  2023م
Third quarter 2023 | شراء
Buy |  (%)</t>
  </si>
  <si>
    <t>الربع الثالث عام  2023م
Third quarter 2023 | (مليون ريال) 
(Million Riyals)</t>
  </si>
  <si>
    <t>الربع الثالث عام  2023م
Third quarter 2023 |  (%)</t>
  </si>
  <si>
    <t>الربع الثالث عام 2023م
Third quarter 2023 | (مليون ريال) 
(Million Riyals)</t>
  </si>
  <si>
    <t>الربع   الأول عام 2023م
First quarter 2023</t>
  </si>
  <si>
    <t>الربع   الثاني عام 2023م
Second quarter 2023</t>
  </si>
  <si>
    <t>الربع  الثالث عام 2023م
Third quarter 2023</t>
  </si>
  <si>
    <t xml:space="preserve"> 
  Media and Entertainment الإعلام والترفيه </t>
  </si>
  <si>
    <t xml:space="preserve"> 
 Financial Services الخدمات المالية </t>
  </si>
  <si>
    <t xml:space="preserve"> 
  Consumer Staples Distribution &amp; Retail تجزئة وتوزيع السلع الاستهلاكية </t>
  </si>
  <si>
    <t xml:space="preserve"> 
 Consumer Discretionary Distribution &amp; Retail تجزئة وتوزيع السلع الكمالية </t>
  </si>
  <si>
    <t xml:space="preserve">  Consumer Discretionary Distribution &amp; Retail تجزئة وتوزيع السلع الكمالية </t>
  </si>
  <si>
    <t>النصف الأول عام 2023م
First Half 2023</t>
  </si>
  <si>
    <t>المنتجات المنزلية و الشخصية Household &amp; Personal Products</t>
  </si>
  <si>
    <t xml:space="preserve">  الخدمات الاستهلاكية Consumer Services</t>
  </si>
  <si>
    <t xml:space="preserve">  السلع الرأسمالية Capital Goods </t>
  </si>
  <si>
    <t xml:space="preserve">  إنتاج الأغذية Food &amp; Beverages </t>
  </si>
  <si>
    <t>* تشمل الصناديق العقارية المتداولة (REITs) ابتداءً من العام 2016م</t>
  </si>
  <si>
    <t>العام  2019م
year 2019</t>
  </si>
  <si>
    <t>العام  2020م
year 2020</t>
  </si>
  <si>
    <t>العام  2021م
year 2021</t>
  </si>
  <si>
    <t>العام  2022م
year 2022</t>
  </si>
  <si>
    <t>العام  2019م
year 20119</t>
  </si>
  <si>
    <t xml:space="preserve">الربع الثاني عام  2023م
Second quarter 2023 </t>
  </si>
  <si>
    <t>العام 2021م
year 2021</t>
  </si>
  <si>
    <t>العام 2022م
year 2022</t>
  </si>
  <si>
    <t>النصف الأول عام  2023م
First half 2023</t>
  </si>
  <si>
    <t>الاتصالات Telecommunication Services</t>
  </si>
  <si>
    <t>الربع الرابع عام   2021م
Fourth quarter 2021</t>
  </si>
  <si>
    <t>الربع الرابع عام   2022م
Fourth quarter 2022</t>
  </si>
  <si>
    <t>الربع الرابع عام   2023م
Fourth quarter 2023</t>
  </si>
  <si>
    <t>الربع الرابع عام   2015م
Fourth quarter 2015 بيع
Sell (مليون ريال) 
(Million Riyals)</t>
  </si>
  <si>
    <t>الربع الرابع عام   2015م
Fourth quarter 2015 بيع
Sell  (%)</t>
  </si>
  <si>
    <t xml:space="preserve">الربع الرابع عام   2015م
Fourth quarter 2015 شراء
Buy (مليون ريال) </t>
  </si>
  <si>
    <t>الربع الرابع عام   2015م
Fourth quarter 2015 شراء
Buy  (%)</t>
  </si>
  <si>
    <t>الربع الرابع عام   2016م
Fourth quarter 2016 بيع
Sell (مليون ريال) 
(Million Riyals)</t>
  </si>
  <si>
    <t>الربع الرابع عام   2016م
Fourth quarter 2016 بيع
Sell  (%)</t>
  </si>
  <si>
    <t xml:space="preserve">الربع الرابع عام   2016م
Fourth quarter 2016 شراء
Buy (مليون ريال) </t>
  </si>
  <si>
    <t>الربع الرابع عام   2016م
Fourth quarter 2016 شراء
Buy  (%)</t>
  </si>
  <si>
    <t>الربع الرابع عام   2017م
Fourth quarter 2017 بيع
Sell (مليون ريال) 
(Million Riyals)</t>
  </si>
  <si>
    <t>الربع الرابع عام   2017م
Fourth quarter 2017 بيع
Sell  (%)</t>
  </si>
  <si>
    <t xml:space="preserve">الربع الرابع عام   2017م
Fourth quarter 2017 شراء
Buy (مليون ريال) </t>
  </si>
  <si>
    <t>الربع الرابع عام   2017م
Fourth quarter 2017 شراء
Buy  (%)</t>
  </si>
  <si>
    <t>الربع الرابع عام   2018م
Fourth quarter 2018 بيع
Sell (مليون ريال) 
(Million Riyals)</t>
  </si>
  <si>
    <t>الربع الرابع عام   2018م
Fourth quarter 2018 بيع
Sell  (%)</t>
  </si>
  <si>
    <t xml:space="preserve">الربع الرابع عام   2018م
Fourth quarter 2018 شراء
Buy (مليون ريال) </t>
  </si>
  <si>
    <t>الربع الرابع عام   2018م
Fourth quarter 2018 شراء
Buy  (%)</t>
  </si>
  <si>
    <t>الربع الرابع عام   2019م
Fourth quarter 2019 بيع
Sell (مليون ريال) 
(Million Riyals)</t>
  </si>
  <si>
    <t>الربع الرابع عام   2019م
Fourth quarter 2019 بيع
Sell  (%)</t>
  </si>
  <si>
    <t xml:space="preserve">الربع الرابع عام   2019م
Fourth quarter 2019 شراء
Buy (مليون ريال) </t>
  </si>
  <si>
    <t>الربع الرابع عام   2019م
Fourth quarter 2019 شراء
Buy  (%)</t>
  </si>
  <si>
    <t>الربع الرابع عام   2020م
Fourth quarter 2020 بيع
Sell (مليون ريال) 
(Million Riyals)</t>
  </si>
  <si>
    <t>الربع الرابع عام   2020م
Fourth quarter 2020 بيع
Sell  (%)</t>
  </si>
  <si>
    <t>الربع الرابع عام   2020م
Fourth quarter 2020 شراء
Buy (مليون ريال) 
(Million Riyals)</t>
  </si>
  <si>
    <t>الربع الرابع عام   2020م
Fourth quarter 2020 شراء
Buy  (%)</t>
  </si>
  <si>
    <t>الربع الرابع عام   2021م
Fourth quarter 2021 بيع
Sell (مليون ريال) 
(Million Riyals)</t>
  </si>
  <si>
    <t>الربع الرابع عام   2021م
Fourth quarter 2021 بيع
Sell  (%)</t>
  </si>
  <si>
    <t>الربع الرابع عام   2021م
Fourth quarter 2021 شراء
Buy (مليون ريال) 
(Million Riyals)</t>
  </si>
  <si>
    <t>الربع الرابع عام   2021م
Fourth quarter 2021 شراء
Buy  (%)</t>
  </si>
  <si>
    <t>الربع الرابع عام   2022م
Fourth quarter 2022 بيع
Sell (مليون ريال) 
(Million Riyals)</t>
  </si>
  <si>
    <t>الربع الرابع عام   2022م
Fourth quarter 2022 بيع
Sell  (%)</t>
  </si>
  <si>
    <t>الربع الرابع عام   2022م
Fourth quarter 2022 شراء
Buy (مليون ريال) 
(Million Riyals)</t>
  </si>
  <si>
    <t>الربع الرابع عام   2022م
Fourth quarter 2022 شراء
Buy  (%)</t>
  </si>
  <si>
    <t>الربع الرابع عام   2023م
Fourth quarter 2023 | بيع
Sell | (مليون ريال) 
(Million Riyals)</t>
  </si>
  <si>
    <t>الربع الرابع عام   2023م
Fourth quarter 2023 | بيع
Sell |  (%)</t>
  </si>
  <si>
    <t>الربع الرابع عام   2023م
Fourth quarter 2023 | شراء
Buy | (مليون ريال) 
(Million Riyals)</t>
  </si>
  <si>
    <t>الربع الرابع عام   2023م
Fourth quarter 2023 | شراء
Buy |  (%)</t>
  </si>
  <si>
    <t>الربع الرابع عام   2015م
Fourth quarter 2015 | بيع
Sell | (مليون ريال) 
(Million Riyals)</t>
  </si>
  <si>
    <t>الربع الرابع عام   2015م
Fourth quarter 2015 | بيع
Sell |  (%)</t>
  </si>
  <si>
    <t xml:space="preserve">الربع الرابع عام   2015م
Fourth quarter 2015 | شراء
Buy | (مليون ريال) </t>
  </si>
  <si>
    <t>الربع الرابع عام   2015م
Fourth quarter 2015 | شراء
Buy |  (%)</t>
  </si>
  <si>
    <t>الربع الرابع عام   2016م
Fourth quarter 2016 | بيع
Sell | (مليون ريال) 
(Million Riyals)</t>
  </si>
  <si>
    <t>الربع الرابع عام   2016م
Fourth quarter 2016 | بيع
Sell |  (%)</t>
  </si>
  <si>
    <t xml:space="preserve">الربع الرابع عام   2016م
Fourth quarter 2016 | شراء
Buy | (مليون ريال) </t>
  </si>
  <si>
    <t>الربع الرابع عام   2016م
Fourth quarter 2016 | شراء
Buy |  (%)</t>
  </si>
  <si>
    <t>الربع الرابع عام   2017م
Fourth quarter 2017 | بيع
Sell | (مليون ريال) 
(Million Riyals)</t>
  </si>
  <si>
    <t>الربع الرابع عام   2017م
Fourth quarter 2017 | بيع
Sell |  (%)</t>
  </si>
  <si>
    <t xml:space="preserve">الربع الرابع عام   2017م
Fourth quarter 2017 | شراء
Buy | (مليون ريال) </t>
  </si>
  <si>
    <t>الربع الرابع عام   2017م
Fourth quarter 2017 | شراء
Buy |  (%)</t>
  </si>
  <si>
    <t>الربع الرابع  عام  2018م*
Fourth quarter 2018 | بيع
Sell | (مليون ريال) 
(Million Riyals)</t>
  </si>
  <si>
    <t>الربع الرابع  عام  2018م*
Fourth quarter 2018 | بيع
Sell |  (%)</t>
  </si>
  <si>
    <t xml:space="preserve">الربع الرابع  عام  2018م*
Fourth quarter 2018 | شراء
Buy | (مليون ريال) </t>
  </si>
  <si>
    <t>الربع الرابع  عام  2018م*
Fourth quarter 2018 | شراء
Buy |  (%)</t>
  </si>
  <si>
    <t>الربع الرابع عام   2019م
Fourth quarter 2019 | بيع
Sell | (مليون ريال) 
(Million Riyals)</t>
  </si>
  <si>
    <t>الربع الرابع عام   2019م
Fourth quarter 2019 | بيع
Sell |  (%)</t>
  </si>
  <si>
    <t xml:space="preserve">الربع الرابع عام   2019م
Fourth quarter 2019 | شراء
Buy | (مليون ريال) </t>
  </si>
  <si>
    <t>الربع الرابع عام   2019م
Fourth quarter 2019 | شراء
Buy |  (%)</t>
  </si>
  <si>
    <t>الربع الرابع عام   2020م
Fourth quarter 2020 | بيع
Sell | (مليون ريال) 
(Million Riyals)</t>
  </si>
  <si>
    <t>الربع الرابع عام   2020م
Fourth quarter 2020 | بيع
Sell |  (%)</t>
  </si>
  <si>
    <t xml:space="preserve">الربع الرابع عام   2020م
Fourth quarter 2020 | شراء
Buy | (مليون ريال) </t>
  </si>
  <si>
    <t>الربع الرابع عام   2020م
Fourth quarter 2020 | شراء
Buy |  (%)</t>
  </si>
  <si>
    <t>الربع الرابع عام   2021م
Fourth quarter 2021 | بيع
Sell | (مليون ريال) 
(Million Riyals)</t>
  </si>
  <si>
    <t>الربع الرابع عام   2021م
Fourth quarter 2021 | بيع
Sell |  (%)</t>
  </si>
  <si>
    <t>الربع الرابع عام   2021م
Fourth quarter 2021 | شراء
Buy | (مليون ريال) 
(Million Riyals)</t>
  </si>
  <si>
    <t>الربع الرابع عام   2021م
Fourth quarter 2021 | شراء
Buy |  (%)</t>
  </si>
  <si>
    <t>الربع الرابع عام  2022م
Fourth quarter 2022 | بيع
Sell | (مليون ريال) 
(Million Riyals)</t>
  </si>
  <si>
    <t>الربع الرابع عام  2022م
Fourth quarter 2022 | بيع
Sell |  (%)</t>
  </si>
  <si>
    <t>الربع الرابع عام  2022م
Fourth quarter 2022 | شراء
Buy | (مليون ريال) 
(Million Riyals)</t>
  </si>
  <si>
    <t>الربع الرابع عام  2022م
Fourth quarter 2022 | شراء
Buy |  (%)</t>
  </si>
  <si>
    <t>الربع الرابع عام   2015م
Fourth quarter 2015 | (مليون ريال) 
(Million Riyals)</t>
  </si>
  <si>
    <t>الربع الرابع عام   2015م
Fourth quarter 2015 |  (%)</t>
  </si>
  <si>
    <t>الربع الرابع عام   2016م
Fourth quarter 2016 | (مليون ريال) 
(Million Riyals)</t>
  </si>
  <si>
    <t>الربع الرابع عام   2016م
Fourth quarter 2016 |  (%)</t>
  </si>
  <si>
    <t>الربع الرابع عام   2017م
Fourth quarter 2017 | (مليون ريال) 
(Million Riyals)</t>
  </si>
  <si>
    <t>الربع الرابع عام   2017م
Fourth quarter 2017 |  (%)</t>
  </si>
  <si>
    <t>الربع الرابع عام   2018م
Fourth quarter 2018 | (مليون ريال) 
(Million Riyals)</t>
  </si>
  <si>
    <t>الربع الرابع عام   2018م
Fourth quarter 2018 |  (%)</t>
  </si>
  <si>
    <t>الربع الرابع عام   2019م
Fourth quarter 2019 | (مليون ريال) 
(Million Riyals)</t>
  </si>
  <si>
    <t>الربع الرابع عام   2019م
Fourth quarter 2019 |  (%)</t>
  </si>
  <si>
    <t>الربع الرابع عام   2020م
Fourth quarter 2020 | (مليون ريال) 
(Million Riyals)</t>
  </si>
  <si>
    <t>الربع الرابع عام   2020م
Fourth quarter 2020 |  (%)</t>
  </si>
  <si>
    <t>الربع الرابع عام   2021م
Fourth quarter 2021 | (مليون ريال) 
(Million Riyals)</t>
  </si>
  <si>
    <t>الربع الرابع عام   2021م
Fourth quarter 2021 |  (%)</t>
  </si>
  <si>
    <t>الربع الرابع عام   2022م
Fourth quarter 2022 | (مليون ريال) 
(Million Riyals)</t>
  </si>
  <si>
    <t>الربع الرابع عام   2022م
Fourth quarter 2022 |  (%)</t>
  </si>
  <si>
    <t>الربع الرابع عام   2023م
Fourth quarter 20223 | (مليون ريال) 
(Million Riyals)</t>
  </si>
  <si>
    <t>الربع الرابع عام   2023م
Fourth quarter 20223|  (%)</t>
  </si>
  <si>
    <t>الربع الرابع عام   2023م
Fourth quarter 2023 | (مليون ريال) 
(Million Riyals)</t>
  </si>
  <si>
    <t>الربع الرابع عام   2023م
Fourth quarter 2023|  (%)</t>
  </si>
  <si>
    <t>الربع الرابع عام  2013م
Fourth quarter 2013</t>
  </si>
  <si>
    <t>الربع الرابع عام  2014م
Fourth quarter 2014</t>
  </si>
  <si>
    <t>الربع الرابع عام   2015م
Fourth quarter 2015</t>
  </si>
  <si>
    <t>الربع الرابع عام   2016م
Fourth quarter 2016</t>
  </si>
  <si>
    <t>الربع الرابع عام   2017م
Fourth quarter 2017</t>
  </si>
  <si>
    <t>الربع الرابع عام   2018م
Fourth quarter 2018</t>
  </si>
  <si>
    <t>الربع الرابع عام   2019م
Fourth quarter 2019</t>
  </si>
  <si>
    <t>الربع الرابع عام   2020م
Fourth quarter 2020</t>
  </si>
  <si>
    <t>* REITs are included since the Fourth quarter of 2016.</t>
  </si>
  <si>
    <t>الربع الأول عام  2024م
First quarter 2024</t>
  </si>
  <si>
    <t>الربع الأول عام  2024م
First quarter 2024 | بيع
Sell | (مليون ريال) 
(Million Riyals)</t>
  </si>
  <si>
    <t>الربع الأول عام  2024م
First quarter 2024 | بيع
Sell |  (%)</t>
  </si>
  <si>
    <t>الربع الأول عام  2024م
First quarter 2024 | شراء
Buy | (مليون ريال) 
(Million Riyals)</t>
  </si>
  <si>
    <t>الربع الأول عام  2024م
First quarter 2024 | شراء
Buy |  (%)</t>
  </si>
  <si>
    <t>الربع الأول عام  2024م
First quarter 2024 | (مليون ريال) 
(Million Riyals)</t>
  </si>
  <si>
    <t>الربع الأول عام  2024م
First quarter 2024 |  (%)</t>
  </si>
  <si>
    <t>الربع الثاني عام  2024م
Second quarter 2024</t>
  </si>
  <si>
    <t>الربع الثاني عام  2024م
second quarter 2024 | (مليون ريال) 
(Million Riyals)</t>
  </si>
  <si>
    <t>الربع الثاني عام  2024م
second quarter 2024 |  (%)</t>
  </si>
  <si>
    <t>الربع الثاني عام  2024م
second quarter 2024 | بيع
Sell | (مليون ريال) 
(Million Riyals)</t>
  </si>
  <si>
    <t>الربع الثاني عام  2024م
second quarter 2024 | بيع
Sell |  (%)</t>
  </si>
  <si>
    <t>الربع الثاني عام  2024م
second quarter 2024 | شراء
Buy | (مليون ريال) 
(Million Riyals)</t>
  </si>
  <si>
    <t>الربع الثاني عام  2024م
second quarter 2024 | شراء
Buy |  (%)</t>
  </si>
  <si>
    <t>عام 2023م
2023</t>
  </si>
  <si>
    <t>العام  2023م
year 2023</t>
  </si>
  <si>
    <t>الربع الثالث عام  2024م
Third quarter 2024</t>
  </si>
  <si>
    <t>الربع الثالث عام  2024م
Third quarter 2024 | (مليون ريال) 
(Million Riyals)</t>
  </si>
  <si>
    <t>الربع الثالث عام  2024م
Third quarter 2024 |  (%)</t>
  </si>
  <si>
    <t>الربع الثالث عام  2024م
Third quarter 2024 | بيع
Sell | (مليون ريال) 
(Million Riyals)</t>
  </si>
  <si>
    <t>الربع الثالث عام  2024م
Third quarter 2024 | بيع
Sell |  (%)</t>
  </si>
  <si>
    <t>الربع الثالث عام  2024م
Third quarter 2024 | شراء
Buy | (مليون ريال) 
(Million Riyals)</t>
  </si>
  <si>
    <t>الربع الثالث عام  2024م
Third quarter 2024 | شراء
Buy |  (%)</t>
  </si>
  <si>
    <t>الربع الرابع عام   2024م
Fourth quarter 2024</t>
  </si>
  <si>
    <t>الربع الرابع عام   2024م
Fourth quarter 2024 | (مليون ريال) 
(Million Riyals)</t>
  </si>
  <si>
    <t>الربع الرابع عام   2024م
Fourth quarter 2024|  (%)</t>
  </si>
  <si>
    <t>الربع الرابع عام   2024م
Fourth quarter 2024 | شراء
Buy |  (%)</t>
  </si>
  <si>
    <t>الربع الرابع عام   2024م
Fourth quarter 2024 | بيع
Sell | (مليون ريال) 
(Million Riyals)</t>
  </si>
  <si>
    <t>الربع الرابع عام   2024م
Fourth quarter 2024 | بيع
Sell |  (%)</t>
  </si>
  <si>
    <t>الربع الرابع عام   2024م
Fourth quarter 2024 | شراء
Buy | (مليون ريال) 
(Million Riyals)</t>
  </si>
  <si>
    <t>الربع الأول عام  2025م
First quarter 2025</t>
  </si>
  <si>
    <t> 3,296,718.49</t>
  </si>
  <si>
    <t xml:space="preserve">الربع الأول عام  2024م
First quarter 2024م </t>
  </si>
  <si>
    <t xml:space="preserve">الربع الثاني عام  2024م
Second quarter 2024 </t>
  </si>
  <si>
    <t>الربع الثالث عام 2024م
Third quarter 2024</t>
  </si>
  <si>
    <t>الربع الثالث عام 2023م
Third quarter 2023</t>
  </si>
  <si>
    <t>النصف الأول عام  2024م
First half 2024</t>
  </si>
  <si>
    <t>النصف الأول عام 2024م
First Half 2024</t>
  </si>
  <si>
    <t>الربع الأول عام   2025م
First quarter 2025|  (%)</t>
  </si>
  <si>
    <t>الربع الأول عام   2025م
First quarter 2025 | بيع
Sell | (مليون ريال) 
(Million Riyals)</t>
  </si>
  <si>
    <t>الربع الأول عام   2025م
First quarter 2025 | بيع
Sell |  (%)</t>
  </si>
  <si>
    <t>الربع الأول عام   2025م
First quarter 2025 | شراء
Buy | (مليون ريال) 
(Million Riyals)</t>
  </si>
  <si>
    <t>الربع الأول عام   2025م
First quarter 2025 | شراء
Buy |  (%)</t>
  </si>
  <si>
    <t>الربع الثاني عام  2025م
Second quarter 2025</t>
  </si>
  <si>
    <t>الربع الثاني عام  2025م
second quarter 2025 | (مليون ريال) 
(Million Riyals)</t>
  </si>
  <si>
    <t>الربع الثاني عام  2025م
second quarter 2025 |  (%)</t>
  </si>
  <si>
    <t>الربع الثاني عام  2025م
second quarter 2025 | بيع
Sell | (مليون ريال) 
(Million Riyals)</t>
  </si>
  <si>
    <t>الربع الثاني عام  2025م
second quarter 2025 | بيع
Sell |  (%)</t>
  </si>
  <si>
    <t>الربع الثاني عام  2025م
second quarter 2025 | شراء
Buy | (مليون ريال) 
(Million Riyals)</t>
  </si>
  <si>
    <t>الربع الثاني عام  2025م
second quarter 2025 | شراء
Buy |  (%)</t>
  </si>
  <si>
    <t>النشرة الإحصائية ربع السنوية
  Statistical Bulletin
العدد الأربع والأربعون الربع الثاني لعام 2025م 
44th Issue- Second Quarter 2025</t>
  </si>
  <si>
    <t>جدول رقم (11):  مؤشرات سوق الأسهم الرئيسية</t>
  </si>
  <si>
    <t>جدول رقم (12): مؤشرات سوق الأسهم للسوق الموازية نمو</t>
  </si>
  <si>
    <t xml:space="preserve">جدول رقم (13):  المؤشرات المالية الإجمالية في سوق الأسهم </t>
  </si>
  <si>
    <t xml:space="preserve">جدول رقم (14): إجمالي  إيرادات القطاعات  للسوق الرئيسية </t>
  </si>
  <si>
    <t xml:space="preserve">جدول رقم (15): صافي  دخل القطاعات  للسوق الرئيسية </t>
  </si>
  <si>
    <t xml:space="preserve">جدول رقم (16):  إجمالي حقوق المساهمين للقطاعات السوق الرئيسية </t>
  </si>
  <si>
    <t xml:space="preserve">جدول رقم (17):  إجمالي أصول القطاعات  للسوق الرئيسية </t>
  </si>
  <si>
    <t xml:space="preserve">جدول رقم (18):  إجمالي دين القطاعات  للسوق الرئيسية </t>
  </si>
  <si>
    <t>جدول رقم (19): إجمالي  إيرادات القطاعات  لسوق نمو</t>
  </si>
  <si>
    <t>جدول رقم (20): صافي  دخل القطاعات  لسوق نمو</t>
  </si>
  <si>
    <t>جدول رقم (21):  إجمالي حقوق المساهمين للقطاعات سوق نمو</t>
  </si>
  <si>
    <t>جدول رقم (22):  إجمالي أصول القطاعات  لسوق نمو</t>
  </si>
  <si>
    <t>جدول رقم (23):  إجمالي دين القطاعات  لسوق نمو</t>
  </si>
  <si>
    <t>جدول رقم (24):   عدد محافظ الأفراد في سوق الأسهم مصنفين حسب الجنس</t>
  </si>
  <si>
    <t>جدول رقم (25):   قيم ونسب الملكية في سوق الأسهم حسب نوع المستثمر</t>
  </si>
  <si>
    <t>جدول رقم (26):  قيم ونسب الملكية في سوق الأسهم حسب تصنيف المستثمر وفقاً للسلوك الاستثماري</t>
  </si>
  <si>
    <t xml:space="preserve">جدول رقم (27):  قيم ونسب التداولات في سوق الأسهم حسب نوع المستثمر </t>
  </si>
  <si>
    <t>جدول رقم (28):  قيم ونسب التداولات في سوق الأسهم حسب تصنيف المستثمر وفقاً للسلوك الاستثماري</t>
  </si>
  <si>
    <t>جدول رقم (29):  التداولات خارج المنصة</t>
  </si>
  <si>
    <t>Table (11): Stock Market Indicators</t>
  </si>
  <si>
    <t>Table (12): Stock Market Indicators Parallel Market (NOMU)</t>
  </si>
  <si>
    <t>Table (13): Financial indicators (Main Market)</t>
  </si>
  <si>
    <t>Table (14): Total Revenue By Sector (Main Market)</t>
  </si>
  <si>
    <t>Table (15): Net Income By Sector (Main Market)</t>
  </si>
  <si>
    <t>Table (16): Shareholders Equity By Sector (Main Market)</t>
  </si>
  <si>
    <t>Table (17): Total Assets By Sector (Main Market)</t>
  </si>
  <si>
    <t>Table (18): Total Debt By Sector (Main Market)</t>
  </si>
  <si>
    <t>Table (19): Total Revenue By Sector (Nomu Market)</t>
  </si>
  <si>
    <t>Table (20): Net Income By Sector (Nomu Market)</t>
  </si>
  <si>
    <t>Table (21): Shareholders Equity By Sector (Nomu Market)</t>
  </si>
  <si>
    <t>Table (22): Total Assets By Sector (Nomu Market)</t>
  </si>
  <si>
    <t>Table (23): Total Debt By Sector (Nomu Market)</t>
  </si>
  <si>
    <t>Table (24): Number of Individual Portfolios in Local Stock Market Classified by Gender (Main Market)</t>
  </si>
  <si>
    <t>Table (25): Values and Percentages of Ownership in the Stock Market Classified by Investor Type (Main Market)</t>
  </si>
  <si>
    <t>Table (26): Values and Percentages of Ownership Classified by Investors According to Their Behavior (Main Market)</t>
  </si>
  <si>
    <t>Table (27): Values and Percentages of Trades in the Stock Market Classified by Investor Type (Main Market)</t>
  </si>
  <si>
    <t>Table (28): Values and Percentages of Trades in the Stock Market Classified by Investors According to Their Behavior (Main Market)</t>
  </si>
  <si>
    <t>Table (29): OTC TRADING</t>
  </si>
  <si>
    <t>*جدول رقم (11): مؤشرات سوق الأسهم الرئيسية
Table (11): Stock Market Indicators (Main Market)*</t>
  </si>
  <si>
    <t>جدول رقم (12): مؤشرات سوق الأسهم للسوق الموازية نمو
Table (12): Stock Market Indicators Parallel Market (NOMU)</t>
  </si>
  <si>
    <t>*جدول رقم (13):المؤشرات المالية لسوق الأسهم
Table (13): Financial indicators*</t>
  </si>
  <si>
    <t xml:space="preserve">*جدول رقم (14): إجمالي الإيرادات لقطاعات سوق الأسهم الرئيسية
Table (14): Total Revenues By Sector (Main Market)* </t>
  </si>
  <si>
    <t>*جدول رقم (15): صافي الدخل لقطاعات سوق الأسهم الرئيسية
Table (15): Net Income By Sector (Main Market)*</t>
  </si>
  <si>
    <t xml:space="preserve">* جدول رقم (16): إجمالي حقوق المساهمين للقطاعات السوق الأسهم الرئيسية
Table (16): Shareholders Equity By Sector in (Main Market)* </t>
  </si>
  <si>
    <t xml:space="preserve">*جدول رقم (17): إجمالي أصول القطاعات سوق الأسهم الرئيسية
Table (17): Total Assets By Sector (Main Market)* </t>
  </si>
  <si>
    <t>*جدول رقم (18): إجمالي الدين لقطاعات سوق الأسهم الرئيسية
  Table (18): Total Debt By Sector in (Main Market)*</t>
  </si>
  <si>
    <t xml:space="preserve">*جدول رقم (19): إجمالي الإيرادات لقطاعات سوق الأسهم نمو
Table (19): Total Revenues By Sector Nomu Market* </t>
  </si>
  <si>
    <t>*جدول رقم (20): صافي الدخل لقطاعات سوق الأسهم نمو
Table (20): Net Income By Sector Nomu Market*</t>
  </si>
  <si>
    <t xml:space="preserve">* جدول رقم (21): إجمالي حقوق المساهمين للقطاعات السوق الأسهم نمو
Table (21): Shareholders Equity By Sector in Nomu Market* </t>
  </si>
  <si>
    <t xml:space="preserve">*جدول رقم (22): إجمالي أصول القطاعات  سوق الأسهم نمو
Table (22): Total Assets By Sector Nomu Market* </t>
  </si>
  <si>
    <t>*جدول رقم (23): إجمالي الدين لقطاعات سوق الأسهم نمو
Table (23): Total Debt By Sector in Nomu Market*</t>
  </si>
  <si>
    <t>جدول رقم (24):  عدد محافظ الأفراد في سوق الأسهم الرئيسية مصنفين حسب الجنس
Table (24): Number of Individual Portfolios Classified by Gender (Main Market)</t>
  </si>
  <si>
    <t>جدول رقم (25):  قيم ونسب الملكية في سوق الأسهم الرئيسية حسب نوع المستثمر
Table (25): Values and Percentages of Ownership Classified by Investor Type (Main Market)</t>
  </si>
  <si>
    <t xml:space="preserve">جدول رقم (26): قيم ونسب الملكية في سوق الأسهم الرئيسية حسب تصنيف المستثمر وفقاً للسلوك الاستثماري
Table (26): Values and Percentages of Ownership Classified by Investors According to Their Behavior (Main Market)
</t>
  </si>
  <si>
    <t>الجدول رقم (27): قيم ونسب التداولات في سوق الأسهم الرئيسية حسب نوع المستثمر
Table (27): Values and Percentages of Trades Classified by Investor Type (Main Market)</t>
  </si>
  <si>
    <t>جدول رقم (28): قيم ونسب التداولات في سوق الأسهم الرئيسية حسب تصنيف المستثمر وفقاً للسلوك الاستثماري
Table (28): Values and Percentages of Trades Classified by Investors According to Their Behavior (Main Market)</t>
  </si>
  <si>
    <t>*جدول رقم (29): التداولات خارج المنصة
Table (29): OTC TRADING*</t>
  </si>
  <si>
    <t xml:space="preserve">***ابتداءً من نسخة الربع الثاني من عام 2025م،  تم البدء بنشر إلغاء إدراج شركة ببيانات تاريخية تبدأ من الربع الأول 2022م. </t>
  </si>
  <si>
    <t>***Starting from the second quarter 2025 edition, the publication of company delistings began with historical data starting from the first quarter of 2022.</t>
  </si>
  <si>
    <t>الشركات الملغى إدراجها
Number of Delisted Companies</t>
  </si>
  <si>
    <t>الربع الثالث عام  2025م
Third quarter 2025</t>
  </si>
  <si>
    <t>الربع الثالث عام 2025م
Third quarter 2025 | (مليون ريال) 
(Million Riyals)</t>
  </si>
  <si>
    <t>الربع الثالث عام  2025م
Third quarter 2025 |  (%)</t>
  </si>
  <si>
    <t>الربع الرابع عام   2025م
Fourth quarter 2025| مليون ريال  (%)</t>
  </si>
  <si>
    <t>الربع الرابع عام   2025م
Fourth quarter 2025</t>
  </si>
  <si>
    <t>الربع الرابع عام   م 2025
Fourth quarter 2025</t>
  </si>
  <si>
    <t>الربع الرابع عام  2025م
fourth quarter 2025 |  (%)</t>
  </si>
  <si>
    <t>الربع الرابع عام 2025م
fourth quarter 2025 | (مليون ريال) 
(Million Riyals)</t>
  </si>
  <si>
    <t>الربع الثالث عام  2025م
Third quarter 2025 | بيع
Sell | (مليون ريال) 
(Million Riyals)</t>
  </si>
  <si>
    <t>الربع الثالث عام  2025م
Third quarter 2025 | بيع
Sell |  (%)</t>
  </si>
  <si>
    <t>الربع الثالث عام  2025م
Third quarter 2025 | شراء
Buy | (مليون ريال) 
(Million Riyals)</t>
  </si>
  <si>
    <t>الربع الثالث عام  2025م
Third quarter 2025 | شراء
Buy |  (%)</t>
  </si>
  <si>
    <t>الربع الرابع عام   2025م
Fourth quarter 2025 | بيع
Sell | (مليون ريال) 
(Million Riyals)</t>
  </si>
  <si>
    <t>الربع الرابع عام   2025م
Fourth quarter 2025 | بيع
Sell |  (%)</t>
  </si>
  <si>
    <t>الربع الرابع عام   2025م
Fourth quarter 2025 | شراء
Buy | (مليون ريال) 
(Million Riyals)</t>
  </si>
  <si>
    <t>الربع الرابع عام   2025م
Fourth quarter 2025 | شراء
Buy | 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</si>
</sst>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(* #,##0.00_);_(* \(#,##0.00\);_(* &quot;-&quot;??_);_(@_)"/>
    <numFmt numFmtId="165" formatCode="_-* #,##0.00_-;_-* #,##0.00\-;_-* &quot;-&quot;??_-;_-@_-"/>
    <numFmt numFmtId="166" formatCode="_-* #,##0\ _€_-;\-* #,##0\ _€_-;_-* &quot;-&quot;\ _€_-;_-@_-"/>
    <numFmt numFmtId="167" formatCode="_-* #,##0.00\ _€_-;\-* #,##0.00\ _€_-;_-* &quot;-&quot;??\ _€_-;_-@_-"/>
    <numFmt numFmtId="168" formatCode="_-* #,##0\ &quot;€&quot;_-;\-* #,##0\ &quot;€&quot;_-;_-* &quot;-&quot;\ &quot;€&quot;_-;_-@_-"/>
    <numFmt numFmtId="169" formatCode="_-* #,##0.00\ &quot;€&quot;_-;\-* #,##0.00\ &quot;€&quot;_-;_-* &quot;-&quot;??\ &quot;€&quot;_-;_-@_-"/>
    <numFmt numFmtId="170" formatCode="_-* #,##0\ _S_E_K_-;\-* #,##0\ _S_E_K_-;_-* &quot;-&quot;\ _S_E_K_-;_-@_-"/>
    <numFmt numFmtId="171" formatCode="_-* #,##0\ &quot;SEK&quot;_-;\-* #,##0\ &quot;SEK&quot;_-;_-* &quot;-&quot;\ &quot;SEK&quot;_-;_-@_-"/>
    <numFmt numFmtId="172" formatCode="_(* #,##0_);_(* \(#,##0\);_(* &quot;-&quot;??_);_(@_)"/>
    <numFmt numFmtId="173" formatCode="#,##0.0"/>
    <numFmt numFmtId="174" formatCode="0.0%"/>
    <numFmt numFmtId="175" formatCode="_-* #,##0.0_-;_-* #,##0.0\-;_-* &quot;-&quot;??_-;_-@_-"/>
  </numFmts>
  <fonts count="9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0"/>
      <color rgb="FF000000"/>
      <name val="Calibri"/>
      <family val="2"/>
    </font>
    <font>
      <b/>
      <sz val="12"/>
      <color rgb="FF000000"/>
      <name val="GE Dinar One Light"/>
      <family val="1"/>
      <charset val="178"/>
    </font>
    <font>
      <u/>
      <sz val="11"/>
      <color theme="10"/>
      <name val="Calibri"/>
      <family val="2"/>
      <charset val="178"/>
      <scheme val="minor"/>
    </font>
    <font>
      <b/>
      <u/>
      <sz val="11"/>
      <color theme="0" tint="-0.499984740745262"/>
      <name val="GE Dinar One Light"/>
      <family val="1"/>
      <charset val="178"/>
    </font>
    <font>
      <b/>
      <u/>
      <sz val="12"/>
      <color theme="0" tint="-0.499984740745262"/>
      <name val="GE Dinar One Light"/>
      <family val="1"/>
      <charset val="178"/>
    </font>
    <font>
      <b/>
      <u/>
      <sz val="12"/>
      <color theme="0" tint="-0.499984740745262"/>
      <name val="Calibri"/>
      <family val="2"/>
      <scheme val="minor"/>
    </font>
    <font>
      <sz val="10"/>
      <name val="Cambria"/>
      <family val="1"/>
      <scheme val="major"/>
    </font>
    <font>
      <sz val="10"/>
      <color rgb="FF000000"/>
      <name val="Cambria"/>
      <family val="1"/>
      <scheme val="major"/>
    </font>
    <font>
      <sz val="18"/>
      <name val="Calibri"/>
      <family val="2"/>
      <scheme val="minor"/>
    </font>
    <font>
      <b/>
      <sz val="8"/>
      <color rgb="FF000000"/>
      <name val="Calibri"/>
      <family val="2"/>
    </font>
    <font>
      <b/>
      <sz val="12"/>
      <color rgb="FF000000"/>
      <name val="Cambria"/>
      <family val="1"/>
      <scheme val="major"/>
    </font>
    <font>
      <sz val="10"/>
      <name val="Arial"/>
      <family val="2"/>
    </font>
    <font>
      <sz val="11"/>
      <color indexed="8"/>
      <name val="Calibri"/>
      <family val="2"/>
      <charset val="17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name val="Times New Roman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8.25"/>
      <color indexed="8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mbria"/>
      <family val="1"/>
      <scheme val="major"/>
    </font>
    <font>
      <sz val="10"/>
      <color theme="1"/>
      <name val="Calibri"/>
      <family val="2"/>
      <charset val="178"/>
      <scheme val="minor"/>
    </font>
    <font>
      <b/>
      <sz val="12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8"/>
      <color rgb="FF00B050"/>
      <name val="Calibri"/>
      <family val="2"/>
      <charset val="178"/>
      <scheme val="minor"/>
    </font>
    <font>
      <b/>
      <sz val="11"/>
      <color rgb="FF00B05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0" tint="-0.499984740745262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8"/>
      <color rgb="FF00B050"/>
      <name val="Calibri"/>
      <family val="2"/>
      <scheme val="minor"/>
    </font>
    <font>
      <sz val="9"/>
      <name val="Calibri"/>
      <family val="2"/>
      <scheme val="minor"/>
    </font>
    <font>
      <sz val="12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rgb="FF00B0F0"/>
      <name val="Calibri"/>
      <family val="2"/>
      <scheme val="minor"/>
    </font>
    <font>
      <sz val="12"/>
      <color theme="1"/>
      <name val="Calibri"/>
      <family val="2"/>
      <charset val="178"/>
      <scheme val="minor"/>
    </font>
    <font>
      <sz val="11"/>
      <color rgb="FF00B0F0"/>
      <name val="Calibri"/>
      <family val="2"/>
      <charset val="178"/>
      <scheme val="minor"/>
    </font>
    <font>
      <sz val="11"/>
      <color theme="0"/>
      <name val="Calibri"/>
      <family val="2"/>
      <charset val="178"/>
      <scheme val="minor"/>
    </font>
    <font>
      <sz val="11"/>
      <color rgb="FF00B050"/>
      <name val="Calibri"/>
      <family val="2"/>
      <scheme val="minor"/>
    </font>
    <font>
      <sz val="9"/>
      <color rgb="FF00B050"/>
      <name val="Calibri"/>
      <family val="2"/>
      <scheme val="minor"/>
    </font>
    <font>
      <b/>
      <sz val="11"/>
      <color theme="1"/>
      <name val="TheSansArabic Plain"/>
      <family val="2"/>
    </font>
    <font>
      <sz val="10"/>
      <color theme="0"/>
      <name val="Calibri"/>
      <family val="2"/>
      <scheme val="minor"/>
    </font>
    <font>
      <sz val="11"/>
      <color rgb="FF000000"/>
      <name val="Calibri"/>
      <family val="2"/>
    </font>
    <font>
      <sz val="8"/>
      <name val="Calibri"/>
      <family val="2"/>
      <charset val="178"/>
      <scheme val="minor"/>
    </font>
    <font>
      <sz val="10"/>
      <color rgb="FF000000"/>
      <name val="Gill Sans MT Light"/>
      <family val="2"/>
    </font>
    <font>
      <b/>
      <sz val="13"/>
      <color rgb="FF000000"/>
      <name val="Calibri"/>
      <family val="2"/>
      <scheme val="minor"/>
    </font>
    <font>
      <b/>
      <sz val="10"/>
      <color rgb="FF000000"/>
      <name val="Gill Sans MT Light"/>
      <family val="2"/>
    </font>
    <font>
      <sz val="11"/>
      <color indexed="8"/>
      <name val="Calibri"/>
      <family val="2"/>
      <scheme val="minor"/>
    </font>
    <font>
      <b/>
      <sz val="10"/>
      <color rgb="FF000000"/>
      <name val="Gill Sans MT Light"/>
    </font>
  </fonts>
  <fills count="30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EF7FD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004B96"/>
        <bgColor indexed="64"/>
      </patternFill>
    </fill>
  </fills>
  <borders count="35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/>
      <top style="thin">
        <color theme="4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/>
      <top/>
      <bottom style="thin">
        <color rgb="FF0069AA"/>
      </bottom>
      <diagonal/>
    </border>
    <border>
      <left style="thick">
        <color theme="0"/>
      </left>
      <right/>
      <top/>
      <bottom/>
      <diagonal/>
    </border>
  </borders>
  <cellStyleXfs count="1328">
    <xf numFmtId="0" fontId="0" fillId="0" borderId="0"/>
    <xf numFmtId="9" fontId="2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165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22" fillId="0" borderId="0"/>
    <xf numFmtId="0" fontId="23" fillId="0" borderId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23" fillId="0" borderId="0"/>
    <xf numFmtId="0" fontId="22" fillId="0" borderId="0"/>
    <xf numFmtId="0" fontId="22" fillId="0" borderId="0"/>
    <xf numFmtId="165" fontId="22" fillId="0" borderId="0" applyFon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23" fillId="0" borderId="0"/>
    <xf numFmtId="164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23" fillId="0" borderId="0"/>
    <xf numFmtId="0" fontId="36" fillId="7" borderId="0" applyNumberFormat="0" applyBorder="0" applyAlignment="0" applyProtection="0"/>
    <xf numFmtId="0" fontId="37" fillId="8" borderId="0" applyNumberFormat="0" applyBorder="0" applyAlignment="0" applyProtection="0"/>
    <xf numFmtId="0" fontId="36" fillId="8" borderId="0" applyNumberFormat="0" applyBorder="0" applyAlignment="0" applyProtection="0"/>
    <xf numFmtId="0" fontId="37" fillId="7" borderId="0" applyNumberFormat="0" applyBorder="0" applyAlignment="0" applyProtection="0"/>
    <xf numFmtId="0" fontId="37" fillId="8" borderId="0" applyNumberFormat="0" applyBorder="0" applyAlignment="0" applyProtection="0"/>
    <xf numFmtId="0" fontId="37" fillId="7" borderId="0" applyNumberFormat="0" applyBorder="0" applyAlignment="0" applyProtection="0"/>
    <xf numFmtId="0" fontId="23" fillId="0" borderId="0"/>
    <xf numFmtId="0" fontId="37" fillId="7" borderId="0" applyNumberFormat="0" applyBorder="0" applyAlignment="0" applyProtection="0"/>
    <xf numFmtId="0" fontId="37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6" fillId="15" borderId="0" applyNumberFormat="0" applyBorder="0" applyAlignment="0" applyProtection="0"/>
    <xf numFmtId="0" fontId="36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40" fillId="25" borderId="18" applyNumberFormat="0" applyAlignment="0" applyProtection="0"/>
    <xf numFmtId="0" fontId="40" fillId="25" borderId="18" applyNumberFormat="0" applyAlignment="0" applyProtection="0"/>
    <xf numFmtId="0" fontId="40" fillId="25" borderId="18" applyNumberFormat="0" applyAlignment="0" applyProtection="0"/>
    <xf numFmtId="0" fontId="40" fillId="25" borderId="18" applyNumberFormat="0" applyAlignment="0" applyProtection="0"/>
    <xf numFmtId="0" fontId="40" fillId="25" borderId="18" applyNumberFormat="0" applyAlignment="0" applyProtection="0"/>
    <xf numFmtId="0" fontId="41" fillId="26" borderId="19" applyNumberFormat="0" applyAlignment="0" applyProtection="0"/>
    <xf numFmtId="0" fontId="41" fillId="26" borderId="19" applyNumberFormat="0" applyAlignment="0" applyProtection="0"/>
    <xf numFmtId="0" fontId="41" fillId="26" borderId="19" applyNumberFormat="0" applyAlignment="0" applyProtection="0"/>
    <xf numFmtId="0" fontId="41" fillId="26" borderId="19" applyNumberFormat="0" applyAlignment="0" applyProtection="0"/>
    <xf numFmtId="0" fontId="41" fillId="26" borderId="19" applyNumberFormat="0" applyAlignment="0" applyProtection="0"/>
    <xf numFmtId="165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38" fontId="42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9" borderId="0" applyNumberFormat="0" applyBorder="0" applyAlignment="0" applyProtection="0"/>
    <xf numFmtId="0" fontId="44" fillId="9" borderId="0" applyNumberFormat="0" applyBorder="0" applyAlignment="0" applyProtection="0"/>
    <xf numFmtId="0" fontId="44" fillId="9" borderId="0" applyNumberFormat="0" applyBorder="0" applyAlignment="0" applyProtection="0"/>
    <xf numFmtId="0" fontId="44" fillId="9" borderId="0" applyNumberFormat="0" applyBorder="0" applyAlignment="0" applyProtection="0"/>
    <xf numFmtId="0" fontId="44" fillId="9" borderId="0" applyNumberFormat="0" applyBorder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5" fillId="0" borderId="20" applyNumberFormat="0" applyFill="0" applyAlignment="0" applyProtection="0"/>
    <xf numFmtId="0" fontId="46" fillId="0" borderId="21" applyNumberFormat="0" applyFill="0" applyAlignment="0" applyProtection="0"/>
    <xf numFmtId="0" fontId="46" fillId="0" borderId="21" applyNumberFormat="0" applyFill="0" applyAlignment="0" applyProtection="0"/>
    <xf numFmtId="0" fontId="46" fillId="0" borderId="21" applyNumberFormat="0" applyFill="0" applyAlignment="0" applyProtection="0"/>
    <xf numFmtId="0" fontId="46" fillId="0" borderId="21" applyNumberFormat="0" applyFill="0" applyAlignment="0" applyProtection="0"/>
    <xf numFmtId="0" fontId="46" fillId="0" borderId="21" applyNumberFormat="0" applyFill="0" applyAlignment="0" applyProtection="0"/>
    <xf numFmtId="0" fontId="47" fillId="0" borderId="22" applyNumberFormat="0" applyFill="0" applyAlignment="0" applyProtection="0"/>
    <xf numFmtId="0" fontId="47" fillId="0" borderId="22" applyNumberFormat="0" applyFill="0" applyAlignment="0" applyProtection="0"/>
    <xf numFmtId="0" fontId="47" fillId="0" borderId="22" applyNumberFormat="0" applyFill="0" applyAlignment="0" applyProtection="0"/>
    <xf numFmtId="0" fontId="47" fillId="0" borderId="22" applyNumberFormat="0" applyFill="0" applyAlignment="0" applyProtection="0"/>
    <xf numFmtId="0" fontId="47" fillId="0" borderId="22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12" borderId="18" applyNumberFormat="0" applyAlignment="0" applyProtection="0"/>
    <xf numFmtId="0" fontId="48" fillId="12" borderId="18" applyNumberFormat="0" applyAlignment="0" applyProtection="0"/>
    <xf numFmtId="0" fontId="48" fillId="12" borderId="18" applyNumberFormat="0" applyAlignment="0" applyProtection="0"/>
    <xf numFmtId="0" fontId="48" fillId="12" borderId="18" applyNumberFormat="0" applyAlignment="0" applyProtection="0"/>
    <xf numFmtId="0" fontId="48" fillId="12" borderId="18" applyNumberFormat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166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50" fillId="27" borderId="0" applyNumberFormat="0" applyBorder="0" applyAlignment="0" applyProtection="0"/>
    <xf numFmtId="0" fontId="50" fillId="27" borderId="0" applyNumberFormat="0" applyBorder="0" applyAlignment="0" applyProtection="0"/>
    <xf numFmtId="0" fontId="50" fillId="27" borderId="0" applyNumberFormat="0" applyBorder="0" applyAlignment="0" applyProtection="0"/>
    <xf numFmtId="0" fontId="50" fillId="27" borderId="0" applyNumberFormat="0" applyBorder="0" applyAlignment="0" applyProtection="0"/>
    <xf numFmtId="0" fontId="50" fillId="27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3" fillId="0" borderId="0"/>
    <xf numFmtId="0" fontId="23" fillId="0" borderId="0"/>
    <xf numFmtId="0" fontId="23" fillId="0" borderId="0"/>
    <xf numFmtId="0" fontId="35" fillId="0" borderId="0"/>
    <xf numFmtId="0" fontId="23" fillId="0" borderId="0"/>
    <xf numFmtId="0" fontId="35" fillId="0" borderId="0"/>
    <xf numFmtId="0" fontId="22" fillId="0" borderId="0"/>
    <xf numFmtId="0" fontId="22" fillId="0" borderId="0"/>
    <xf numFmtId="0" fontId="35" fillId="0" borderId="0"/>
    <xf numFmtId="0" fontId="2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2" fillId="0" borderId="0"/>
    <xf numFmtId="0" fontId="35" fillId="0" borderId="0"/>
    <xf numFmtId="0" fontId="35" fillId="0" borderId="0"/>
    <xf numFmtId="0" fontId="23" fillId="0" borderId="0"/>
    <xf numFmtId="0" fontId="23" fillId="0" borderId="0"/>
    <xf numFmtId="0" fontId="23" fillId="0" borderId="0"/>
    <xf numFmtId="0" fontId="35" fillId="0" borderId="0"/>
    <xf numFmtId="0" fontId="3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5" fillId="0" borderId="0"/>
    <xf numFmtId="0" fontId="23" fillId="0" borderId="0"/>
    <xf numFmtId="0" fontId="23" fillId="0" borderId="0"/>
    <xf numFmtId="0" fontId="23" fillId="0" borderId="0"/>
    <xf numFmtId="0" fontId="35" fillId="0" borderId="0"/>
    <xf numFmtId="0" fontId="35" fillId="28" borderId="24" applyNumberFormat="0" applyFont="0" applyAlignment="0" applyProtection="0"/>
    <xf numFmtId="0" fontId="35" fillId="28" borderId="24" applyNumberFormat="0" applyFont="0" applyAlignment="0" applyProtection="0"/>
    <xf numFmtId="0" fontId="35" fillId="28" borderId="24" applyNumberFormat="0" applyFont="0" applyAlignment="0" applyProtection="0"/>
    <xf numFmtId="0" fontId="35" fillId="28" borderId="24" applyNumberFormat="0" applyFont="0" applyAlignment="0" applyProtection="0"/>
    <xf numFmtId="0" fontId="35" fillId="28" borderId="24" applyNumberFormat="0" applyFont="0" applyAlignment="0" applyProtection="0"/>
    <xf numFmtId="0" fontId="35" fillId="28" borderId="24" applyNumberFormat="0" applyFont="0" applyAlignment="0" applyProtection="0"/>
    <xf numFmtId="0" fontId="35" fillId="28" borderId="24" applyNumberFormat="0" applyFont="0" applyAlignment="0" applyProtection="0"/>
    <xf numFmtId="0" fontId="35" fillId="28" borderId="24" applyNumberFormat="0" applyFont="0" applyAlignment="0" applyProtection="0"/>
    <xf numFmtId="0" fontId="35" fillId="28" borderId="24" applyNumberFormat="0" applyFont="0" applyAlignment="0" applyProtection="0"/>
    <xf numFmtId="0" fontId="35" fillId="28" borderId="24" applyNumberFormat="0" applyFont="0" applyAlignment="0" applyProtection="0"/>
    <xf numFmtId="0" fontId="35" fillId="28" borderId="24" applyNumberFormat="0" applyFont="0" applyAlignment="0" applyProtection="0"/>
    <xf numFmtId="0" fontId="35" fillId="28" borderId="24" applyNumberFormat="0" applyFont="0" applyAlignment="0" applyProtection="0"/>
    <xf numFmtId="0" fontId="35" fillId="28" borderId="24" applyNumberFormat="0" applyFont="0" applyAlignment="0" applyProtection="0"/>
    <xf numFmtId="0" fontId="35" fillId="28" borderId="24" applyNumberFormat="0" applyFont="0" applyAlignment="0" applyProtection="0"/>
    <xf numFmtId="0" fontId="35" fillId="28" borderId="24" applyNumberFormat="0" applyFont="0" applyAlignment="0" applyProtection="0"/>
    <xf numFmtId="0" fontId="35" fillId="28" borderId="24" applyNumberFormat="0" applyFont="0" applyAlignment="0" applyProtection="0"/>
    <xf numFmtId="0" fontId="35" fillId="28" borderId="24" applyNumberFormat="0" applyFont="0" applyAlignment="0" applyProtection="0"/>
    <xf numFmtId="0" fontId="35" fillId="28" borderId="24" applyNumberFormat="0" applyFont="0" applyAlignment="0" applyProtection="0"/>
    <xf numFmtId="0" fontId="35" fillId="28" borderId="24" applyNumberFormat="0" applyFont="0" applyAlignment="0" applyProtection="0"/>
    <xf numFmtId="0" fontId="35" fillId="28" borderId="24" applyNumberFormat="0" applyFont="0" applyAlignment="0" applyProtection="0"/>
    <xf numFmtId="0" fontId="35" fillId="28" borderId="24" applyNumberFormat="0" applyFont="0" applyAlignment="0" applyProtection="0"/>
    <xf numFmtId="0" fontId="35" fillId="28" borderId="24" applyNumberFormat="0" applyFont="0" applyAlignment="0" applyProtection="0"/>
    <xf numFmtId="0" fontId="35" fillId="28" borderId="24" applyNumberFormat="0" applyFont="0" applyAlignment="0" applyProtection="0"/>
    <xf numFmtId="0" fontId="35" fillId="28" borderId="24" applyNumberFormat="0" applyFont="0" applyAlignment="0" applyProtection="0"/>
    <xf numFmtId="0" fontId="35" fillId="28" borderId="24" applyNumberFormat="0" applyFont="0" applyAlignment="0" applyProtection="0"/>
    <xf numFmtId="0" fontId="35" fillId="28" borderId="24" applyNumberFormat="0" applyFont="0" applyAlignment="0" applyProtection="0"/>
    <xf numFmtId="0" fontId="35" fillId="28" borderId="24" applyNumberFormat="0" applyFont="0" applyAlignment="0" applyProtection="0"/>
    <xf numFmtId="0" fontId="35" fillId="28" borderId="24" applyNumberFormat="0" applyFont="0" applyAlignment="0" applyProtection="0"/>
    <xf numFmtId="0" fontId="35" fillId="28" borderId="24" applyNumberFormat="0" applyFont="0" applyAlignment="0" applyProtection="0"/>
    <xf numFmtId="0" fontId="35" fillId="28" borderId="24" applyNumberFormat="0" applyFont="0" applyAlignment="0" applyProtection="0"/>
    <xf numFmtId="0" fontId="35" fillId="28" borderId="24" applyNumberFormat="0" applyFont="0" applyAlignment="0" applyProtection="0"/>
    <xf numFmtId="0" fontId="51" fillId="25" borderId="25" applyNumberFormat="0" applyAlignment="0" applyProtection="0"/>
    <xf numFmtId="0" fontId="51" fillId="25" borderId="25" applyNumberFormat="0" applyAlignment="0" applyProtection="0"/>
    <xf numFmtId="0" fontId="51" fillId="25" borderId="25" applyNumberFormat="0" applyAlignment="0" applyProtection="0"/>
    <xf numFmtId="0" fontId="51" fillId="25" borderId="25" applyNumberFormat="0" applyAlignment="0" applyProtection="0"/>
    <xf numFmtId="0" fontId="51" fillId="25" borderId="25" applyNumberFormat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26" applyNumberFormat="0" applyFill="0" applyAlignment="0" applyProtection="0"/>
    <xf numFmtId="0" fontId="54" fillId="0" borderId="26" applyNumberFormat="0" applyFill="0" applyAlignment="0" applyProtection="0"/>
    <xf numFmtId="0" fontId="54" fillId="0" borderId="26" applyNumberFormat="0" applyFill="0" applyAlignment="0" applyProtection="0"/>
    <xf numFmtId="0" fontId="54" fillId="0" borderId="26" applyNumberFormat="0" applyFill="0" applyAlignment="0" applyProtection="0"/>
    <xf numFmtId="0" fontId="54" fillId="0" borderId="26" applyNumberFormat="0" applyFill="0" applyAlignment="0" applyProtection="0"/>
    <xf numFmtId="170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0" fontId="23" fillId="0" borderId="0"/>
    <xf numFmtId="0" fontId="23" fillId="0" borderId="0"/>
    <xf numFmtId="165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1" fillId="0" borderId="0"/>
    <xf numFmtId="164" fontId="21" fillId="0" borderId="0" applyFont="0" applyFill="0" applyBorder="0" applyAlignment="0" applyProtection="0"/>
    <xf numFmtId="0" fontId="21" fillId="0" borderId="0"/>
    <xf numFmtId="0" fontId="21" fillId="0" borderId="0"/>
    <xf numFmtId="165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1" fillId="0" borderId="0"/>
    <xf numFmtId="0" fontId="21" fillId="0" borderId="0"/>
    <xf numFmtId="9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4" fontId="20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8" fillId="0" borderId="0"/>
    <xf numFmtId="164" fontId="23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5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5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165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23" fillId="0" borderId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4" fontId="15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4" fontId="15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13" fillId="0" borderId="0"/>
    <xf numFmtId="165" fontId="2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2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2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12" fillId="0" borderId="0"/>
    <xf numFmtId="165" fontId="23" fillId="0" borderId="0" applyFont="0" applyFill="0" applyBorder="0" applyAlignment="0" applyProtection="0"/>
    <xf numFmtId="0" fontId="12" fillId="0" borderId="0"/>
    <xf numFmtId="165" fontId="2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164" fontId="11" fillId="0" borderId="0" applyFont="0" applyFill="0" applyBorder="0" applyAlignment="0" applyProtection="0"/>
    <xf numFmtId="0" fontId="11" fillId="0" borderId="0"/>
    <xf numFmtId="0" fontId="9" fillId="0" borderId="0"/>
    <xf numFmtId="0" fontId="8" fillId="0" borderId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" fillId="0" borderId="0"/>
    <xf numFmtId="43" fontId="2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89" fillId="0" borderId="0"/>
  </cellStyleXfs>
  <cellXfs count="194">
    <xf numFmtId="0" fontId="0" fillId="0" borderId="0" xfId="0"/>
    <xf numFmtId="0" fontId="27" fillId="0" borderId="0" xfId="2" applyFont="1" applyAlignment="1">
      <alignment vertical="center"/>
    </xf>
    <xf numFmtId="0" fontId="28" fillId="0" borderId="0" xfId="2" applyFont="1" applyAlignment="1">
      <alignment vertical="center"/>
    </xf>
    <xf numFmtId="0" fontId="27" fillId="0" borderId="0" xfId="2" applyFont="1" applyFill="1" applyAlignment="1">
      <alignment vertical="center"/>
    </xf>
    <xf numFmtId="0" fontId="28" fillId="0" borderId="0" xfId="2" applyFont="1" applyFill="1" applyAlignment="1">
      <alignment vertical="center"/>
    </xf>
    <xf numFmtId="0" fontId="29" fillId="0" borderId="0" xfId="2" applyFont="1" applyAlignment="1">
      <alignment vertical="center"/>
    </xf>
    <xf numFmtId="0" fontId="33" fillId="0" borderId="0" xfId="0" applyFont="1" applyAlignment="1">
      <alignment horizontal="center" vertical="center" wrapText="1" readingOrder="2"/>
    </xf>
    <xf numFmtId="2" fontId="0" fillId="0" borderId="0" xfId="0" applyNumberFormat="1"/>
    <xf numFmtId="0" fontId="32" fillId="0" borderId="0" xfId="0" applyFont="1" applyAlignment="1">
      <alignment horizontal="center" vertical="top" wrapText="1"/>
    </xf>
    <xf numFmtId="3" fontId="0" fillId="0" borderId="0" xfId="0" applyNumberFormat="1"/>
    <xf numFmtId="4" fontId="0" fillId="0" borderId="0" xfId="0" applyNumberFormat="1"/>
    <xf numFmtId="0" fontId="56" fillId="0" borderId="0" xfId="0" applyFont="1"/>
    <xf numFmtId="0" fontId="31" fillId="0" borderId="0" xfId="0" applyFont="1" applyAlignment="1">
      <alignment horizontal="right" vertical="center" readingOrder="2"/>
    </xf>
    <xf numFmtId="0" fontId="34" fillId="0" borderId="0" xfId="0" applyFont="1" applyAlignment="1">
      <alignment horizontal="right" vertical="center" readingOrder="2"/>
    </xf>
    <xf numFmtId="0" fontId="31" fillId="0" borderId="0" xfId="0" applyFont="1" applyAlignment="1">
      <alignment horizontal="left" vertical="center" readingOrder="1"/>
    </xf>
    <xf numFmtId="0" fontId="30" fillId="0" borderId="0" xfId="0" applyFont="1" applyAlignment="1">
      <alignment horizontal="right" vertical="center" readingOrder="2"/>
    </xf>
    <xf numFmtId="0" fontId="57" fillId="0" borderId="0" xfId="0" applyFont="1"/>
    <xf numFmtId="0" fontId="60" fillId="0" borderId="0" xfId="0" applyFont="1" applyAlignment="1">
      <alignment horizontal="left" vertical="center"/>
    </xf>
    <xf numFmtId="0" fontId="56" fillId="0" borderId="0" xfId="0" applyFont="1" applyAlignment="1">
      <alignment horizontal="right" readingOrder="2"/>
    </xf>
    <xf numFmtId="0" fontId="61" fillId="0" borderId="0" xfId="0" applyFont="1" applyAlignment="1">
      <alignment vertical="center" wrapText="1" readingOrder="2"/>
    </xf>
    <xf numFmtId="0" fontId="61" fillId="0" borderId="0" xfId="0" applyFont="1" applyAlignment="1">
      <alignment vertical="center" wrapText="1"/>
    </xf>
    <xf numFmtId="0" fontId="24" fillId="0" borderId="0" xfId="0" applyFont="1" applyAlignment="1">
      <alignment horizontal="left" vertical="center" readingOrder="1"/>
    </xf>
    <xf numFmtId="0" fontId="25" fillId="0" borderId="0" xfId="0" applyFont="1" applyAlignment="1">
      <alignment horizontal="center" vertical="center" wrapText="1" readingOrder="1"/>
    </xf>
    <xf numFmtId="0" fontId="62" fillId="0" borderId="0" xfId="0" applyFont="1" applyAlignment="1">
      <alignment horizontal="right" vertical="center" readingOrder="2"/>
    </xf>
    <xf numFmtId="0" fontId="64" fillId="0" borderId="0" xfId="0" applyFont="1"/>
    <xf numFmtId="0" fontId="62" fillId="0" borderId="0" xfId="0" applyFont="1"/>
    <xf numFmtId="0" fontId="10" fillId="0" borderId="0" xfId="0" applyFont="1"/>
    <xf numFmtId="0" fontId="58" fillId="0" borderId="0" xfId="0" applyFont="1" applyAlignment="1">
      <alignment vertical="center" readingOrder="1"/>
    </xf>
    <xf numFmtId="0" fontId="65" fillId="0" borderId="0" xfId="2" applyFont="1" applyFill="1" applyAlignment="1">
      <alignment vertical="center"/>
    </xf>
    <xf numFmtId="0" fontId="29" fillId="0" borderId="0" xfId="2" applyFont="1" applyFill="1" applyAlignment="1">
      <alignment vertical="center"/>
    </xf>
    <xf numFmtId="0" fontId="65" fillId="0" borderId="0" xfId="2" applyFont="1" applyAlignment="1">
      <alignment vertical="center"/>
    </xf>
    <xf numFmtId="2" fontId="63" fillId="2" borderId="27" xfId="0" applyNumberFormat="1" applyFont="1" applyFill="1" applyBorder="1" applyAlignment="1">
      <alignment horizontal="center" vertical="center" wrapText="1" readingOrder="1"/>
    </xf>
    <xf numFmtId="165" fontId="10" fillId="0" borderId="0" xfId="3" applyFont="1"/>
    <xf numFmtId="164" fontId="10" fillId="0" borderId="0" xfId="0" applyNumberFormat="1" applyFont="1"/>
    <xf numFmtId="2" fontId="63" fillId="2" borderId="27" xfId="0" applyNumberFormat="1" applyFont="1" applyFill="1" applyBorder="1" applyAlignment="1">
      <alignment horizontal="center" vertical="center" wrapText="1" readingOrder="2"/>
    </xf>
    <xf numFmtId="4" fontId="63" fillId="0" borderId="4" xfId="0" applyNumberFormat="1" applyFont="1" applyBorder="1" applyAlignment="1">
      <alignment horizontal="center" vertical="center" wrapText="1" readingOrder="1"/>
    </xf>
    <xf numFmtId="4" fontId="10" fillId="0" borderId="0" xfId="0" applyNumberFormat="1" applyFont="1"/>
    <xf numFmtId="0" fontId="62" fillId="0" borderId="0" xfId="0" applyFont="1" applyAlignment="1">
      <alignment horizontal="left" vertical="center" readingOrder="1"/>
    </xf>
    <xf numFmtId="2" fontId="63" fillId="3" borderId="1" xfId="0" applyNumberFormat="1" applyFont="1" applyFill="1" applyBorder="1" applyAlignment="1">
      <alignment horizontal="center" vertical="center" wrapText="1" readingOrder="1"/>
    </xf>
    <xf numFmtId="172" fontId="10" fillId="0" borderId="0" xfId="389" applyNumberFormat="1" applyFont="1"/>
    <xf numFmtId="3" fontId="10" fillId="0" borderId="0" xfId="0" applyNumberFormat="1" applyFont="1"/>
    <xf numFmtId="9" fontId="10" fillId="0" borderId="0" xfId="1" applyFont="1"/>
    <xf numFmtId="3" fontId="59" fillId="0" borderId="0" xfId="0" applyNumberFormat="1" applyFont="1" applyAlignment="1">
      <alignment horizontal="center" vertical="center" wrapText="1" readingOrder="1"/>
    </xf>
    <xf numFmtId="0" fontId="63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right" readingOrder="2"/>
    </xf>
    <xf numFmtId="0" fontId="10" fillId="0" borderId="0" xfId="0" applyFont="1" applyAlignment="1">
      <alignment horizontal="center" vertical="center"/>
    </xf>
    <xf numFmtId="0" fontId="63" fillId="0" borderId="0" xfId="0" applyFont="1" applyAlignment="1">
      <alignment horizontal="left" vertical="center" readingOrder="1"/>
    </xf>
    <xf numFmtId="0" fontId="67" fillId="0" borderId="0" xfId="0" applyFont="1"/>
    <xf numFmtId="3" fontId="63" fillId="0" borderId="1" xfId="0" applyNumberFormat="1" applyFont="1" applyBorder="1" applyAlignment="1">
      <alignment horizontal="center" vertical="center" wrapText="1" readingOrder="1"/>
    </xf>
    <xf numFmtId="0" fontId="59" fillId="5" borderId="6" xfId="0" applyFont="1" applyFill="1" applyBorder="1" applyAlignment="1">
      <alignment horizontal="center" vertical="center" wrapText="1" readingOrder="1"/>
    </xf>
    <xf numFmtId="0" fontId="69" fillId="0" borderId="0" xfId="0" applyFont="1" applyAlignment="1">
      <alignment horizontal="center" vertical="center" wrapText="1" readingOrder="2"/>
    </xf>
    <xf numFmtId="0" fontId="62" fillId="0" borderId="0" xfId="0" applyFont="1" applyAlignment="1">
      <alignment vertical="center" readingOrder="1"/>
    </xf>
    <xf numFmtId="0" fontId="71" fillId="0" borderId="0" xfId="0" applyFont="1" applyAlignment="1">
      <alignment horizontal="center" vertical="center"/>
    </xf>
    <xf numFmtId="0" fontId="72" fillId="0" borderId="0" xfId="0" applyFont="1" applyAlignment="1">
      <alignment horizontal="right" vertical="center" readingOrder="2"/>
    </xf>
    <xf numFmtId="0" fontId="10" fillId="0" borderId="0" xfId="0" applyFont="1" applyAlignment="1">
      <alignment readingOrder="2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readingOrder="2"/>
    </xf>
    <xf numFmtId="0" fontId="71" fillId="0" borderId="0" xfId="0" applyFont="1" applyAlignment="1">
      <alignment horizontal="left" vertical="center"/>
    </xf>
    <xf numFmtId="0" fontId="62" fillId="0" borderId="2" xfId="0" applyFont="1" applyBorder="1" applyAlignment="1">
      <alignment vertical="center" readingOrder="1"/>
    </xf>
    <xf numFmtId="0" fontId="66" fillId="0" borderId="0" xfId="0" applyFont="1" applyAlignment="1">
      <alignment horizontal="left" vertical="center" readingOrder="1"/>
    </xf>
    <xf numFmtId="0" fontId="10" fillId="0" borderId="0" xfId="0" applyFont="1" applyAlignment="1">
      <alignment horizontal="center"/>
    </xf>
    <xf numFmtId="0" fontId="73" fillId="6" borderId="0" xfId="0" applyFont="1" applyFill="1" applyAlignment="1">
      <alignment vertical="center" wrapText="1" readingOrder="1"/>
    </xf>
    <xf numFmtId="0" fontId="64" fillId="3" borderId="0" xfId="2" applyFont="1" applyFill="1" applyBorder="1" applyAlignment="1">
      <alignment vertical="center" readingOrder="1"/>
    </xf>
    <xf numFmtId="0" fontId="64" fillId="6" borderId="0" xfId="2" applyFont="1" applyFill="1" applyAlignment="1">
      <alignment vertical="center" readingOrder="1"/>
    </xf>
    <xf numFmtId="0" fontId="74" fillId="0" borderId="0" xfId="0" applyFont="1" applyAlignment="1">
      <alignment horizontal="center" vertical="center" readingOrder="2"/>
    </xf>
    <xf numFmtId="0" fontId="73" fillId="3" borderId="0" xfId="0" applyFont="1" applyFill="1" applyAlignment="1">
      <alignment vertical="center" wrapText="1" readingOrder="1"/>
    </xf>
    <xf numFmtId="0" fontId="73" fillId="3" borderId="0" xfId="0" applyFont="1" applyFill="1" applyAlignment="1">
      <alignment horizontal="right" vertical="center" wrapText="1" readingOrder="1"/>
    </xf>
    <xf numFmtId="0" fontId="64" fillId="6" borderId="33" xfId="2" applyFont="1" applyFill="1" applyBorder="1" applyAlignment="1">
      <alignment horizontal="right" vertical="center" readingOrder="2"/>
    </xf>
    <xf numFmtId="0" fontId="30" fillId="0" borderId="0" xfId="0" applyFont="1" applyAlignment="1">
      <alignment horizontal="right" vertical="center" wrapText="1" readingOrder="2"/>
    </xf>
    <xf numFmtId="0" fontId="63" fillId="4" borderId="27" xfId="0" applyFont="1" applyFill="1" applyBorder="1" applyAlignment="1">
      <alignment horizontal="right" vertical="center" wrapText="1" readingOrder="2"/>
    </xf>
    <xf numFmtId="0" fontId="58" fillId="0" borderId="0" xfId="0" applyFont="1" applyAlignment="1">
      <alignment vertical="center" wrapText="1" readingOrder="1"/>
    </xf>
    <xf numFmtId="0" fontId="76" fillId="5" borderId="6" xfId="0" applyFont="1" applyFill="1" applyBorder="1" applyAlignment="1">
      <alignment horizontal="center" vertical="center" wrapText="1" readingOrder="1"/>
    </xf>
    <xf numFmtId="0" fontId="76" fillId="5" borderId="0" xfId="0" applyFont="1" applyFill="1" applyAlignment="1">
      <alignment horizontal="center" vertical="center" wrapText="1" readingOrder="1"/>
    </xf>
    <xf numFmtId="0" fontId="63" fillId="4" borderId="30" xfId="0" applyFont="1" applyFill="1" applyBorder="1" applyAlignment="1">
      <alignment vertical="center" wrapText="1" readingOrder="2"/>
    </xf>
    <xf numFmtId="0" fontId="65" fillId="0" borderId="0" xfId="2" applyFont="1" applyFill="1" applyAlignment="1">
      <alignment horizontal="center" vertical="center"/>
    </xf>
    <xf numFmtId="0" fontId="10" fillId="0" borderId="33" xfId="0" applyFont="1" applyBorder="1"/>
    <xf numFmtId="0" fontId="64" fillId="3" borderId="0" xfId="2" applyFont="1" applyFill="1" applyBorder="1" applyAlignment="1">
      <alignment vertical="center" wrapText="1" readingOrder="1"/>
    </xf>
    <xf numFmtId="0" fontId="64" fillId="6" borderId="33" xfId="2" applyFont="1" applyFill="1" applyBorder="1" applyAlignment="1">
      <alignment vertical="center" wrapText="1" readingOrder="1"/>
    </xf>
    <xf numFmtId="4" fontId="70" fillId="2" borderId="27" xfId="0" applyNumberFormat="1" applyFont="1" applyFill="1" applyBorder="1" applyAlignment="1">
      <alignment horizontal="center" vertical="center" wrapText="1" readingOrder="1"/>
    </xf>
    <xf numFmtId="4" fontId="70" fillId="2" borderId="1" xfId="0" applyNumberFormat="1" applyFont="1" applyFill="1" applyBorder="1" applyAlignment="1">
      <alignment horizontal="center" vertical="center" wrapText="1" readingOrder="1"/>
    </xf>
    <xf numFmtId="4" fontId="79" fillId="29" borderId="12" xfId="0" applyNumberFormat="1" applyFont="1" applyFill="1" applyBorder="1" applyAlignment="1">
      <alignment horizontal="center" vertical="center" wrapText="1"/>
    </xf>
    <xf numFmtId="3" fontId="63" fillId="2" borderId="27" xfId="0" applyNumberFormat="1" applyFont="1" applyFill="1" applyBorder="1" applyAlignment="1">
      <alignment horizontal="center" vertical="center" wrapText="1" readingOrder="1"/>
    </xf>
    <xf numFmtId="3" fontId="59" fillId="2" borderId="27" xfId="0" applyNumberFormat="1" applyFont="1" applyFill="1" applyBorder="1" applyAlignment="1">
      <alignment horizontal="center" vertical="center" wrapText="1" readingOrder="1"/>
    </xf>
    <xf numFmtId="0" fontId="63" fillId="4" borderId="27" xfId="0" applyFont="1" applyFill="1" applyBorder="1" applyAlignment="1">
      <alignment vertical="center" wrapText="1" readingOrder="2"/>
    </xf>
    <xf numFmtId="2" fontId="63" fillId="2" borderId="27" xfId="0" applyNumberFormat="1" applyFont="1" applyFill="1" applyBorder="1" applyAlignment="1">
      <alignment horizontal="center" vertical="center" readingOrder="1"/>
    </xf>
    <xf numFmtId="4" fontId="66" fillId="2" borderId="27" xfId="0" applyNumberFormat="1" applyFont="1" applyFill="1" applyBorder="1" applyAlignment="1">
      <alignment horizontal="center" vertical="center" wrapText="1" readingOrder="1"/>
    </xf>
    <xf numFmtId="4" fontId="63" fillId="2" borderId="27" xfId="0" applyNumberFormat="1" applyFont="1" applyFill="1" applyBorder="1" applyAlignment="1">
      <alignment horizontal="center" vertical="center" readingOrder="1"/>
    </xf>
    <xf numFmtId="4" fontId="59" fillId="2" borderId="27" xfId="0" applyNumberFormat="1" applyFont="1" applyFill="1" applyBorder="1" applyAlignment="1">
      <alignment horizontal="center" vertical="center" readingOrder="1"/>
    </xf>
    <xf numFmtId="4" fontId="70" fillId="2" borderId="3" xfId="0" applyNumberFormat="1" applyFont="1" applyFill="1" applyBorder="1" applyAlignment="1">
      <alignment horizontal="center" vertical="center" wrapText="1" readingOrder="1"/>
    </xf>
    <xf numFmtId="4" fontId="70" fillId="2" borderId="27" xfId="0" applyNumberFormat="1" applyFont="1" applyFill="1" applyBorder="1" applyAlignment="1">
      <alignment horizontal="center" vertical="center" wrapText="1" readingOrder="2"/>
    </xf>
    <xf numFmtId="4" fontId="70" fillId="2" borderId="2" xfId="0" applyNumberFormat="1" applyFont="1" applyFill="1" applyBorder="1" applyAlignment="1">
      <alignment horizontal="center" vertical="center" wrapText="1" readingOrder="1"/>
    </xf>
    <xf numFmtId="4" fontId="70" fillId="2" borderId="5" xfId="0" applyNumberFormat="1" applyFont="1" applyFill="1" applyBorder="1" applyAlignment="1">
      <alignment horizontal="center" vertical="center" wrapText="1" readingOrder="1"/>
    </xf>
    <xf numFmtId="4" fontId="70" fillId="2" borderId="30" xfId="0" applyNumberFormat="1" applyFont="1" applyFill="1" applyBorder="1" applyAlignment="1">
      <alignment horizontal="center" vertical="center" wrapText="1" readingOrder="1"/>
    </xf>
    <xf numFmtId="4" fontId="79" fillId="29" borderId="9" xfId="0" applyNumberFormat="1" applyFont="1" applyFill="1" applyBorder="1" applyAlignment="1">
      <alignment horizontal="center" vertical="center" wrapText="1"/>
    </xf>
    <xf numFmtId="4" fontId="59" fillId="2" borderId="27" xfId="0" applyNumberFormat="1" applyFont="1" applyFill="1" applyBorder="1" applyAlignment="1">
      <alignment horizontal="center" vertical="center" wrapText="1" readingOrder="1"/>
    </xf>
    <xf numFmtId="0" fontId="77" fillId="0" borderId="0" xfId="0" applyFont="1" applyAlignment="1">
      <alignment vertical="center" wrapText="1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64" fillId="6" borderId="33" xfId="2" applyFont="1" applyFill="1" applyBorder="1" applyAlignment="1">
      <alignment horizontal="left" vertical="center" wrapText="1" readingOrder="1"/>
    </xf>
    <xf numFmtId="4" fontId="63" fillId="2" borderId="27" xfId="0" applyNumberFormat="1" applyFont="1" applyFill="1" applyBorder="1" applyAlignment="1">
      <alignment horizontal="center" vertical="center" wrapText="1" readingOrder="1"/>
    </xf>
    <xf numFmtId="0" fontId="77" fillId="0" borderId="0" xfId="0" applyFont="1" applyAlignment="1">
      <alignment horizontal="center" vertical="center" wrapText="1"/>
    </xf>
    <xf numFmtId="0" fontId="63" fillId="2" borderId="27" xfId="0" applyFont="1" applyFill="1" applyBorder="1" applyAlignment="1">
      <alignment horizontal="center" vertical="center" wrapText="1" readingOrder="1"/>
    </xf>
    <xf numFmtId="0" fontId="79" fillId="29" borderId="32" xfId="0" applyFont="1" applyFill="1" applyBorder="1" applyAlignment="1">
      <alignment horizontal="center" vertical="center" wrapText="1"/>
    </xf>
    <xf numFmtId="0" fontId="79" fillId="29" borderId="12" xfId="0" applyFont="1" applyFill="1" applyBorder="1" applyAlignment="1">
      <alignment horizontal="center" vertical="center" wrapText="1"/>
    </xf>
    <xf numFmtId="0" fontId="79" fillId="29" borderId="16" xfId="0" applyFont="1" applyFill="1" applyBorder="1" applyAlignment="1">
      <alignment horizontal="center" vertical="center" wrapText="1"/>
    </xf>
    <xf numFmtId="0" fontId="79" fillId="29" borderId="34" xfId="0" applyFont="1" applyFill="1" applyBorder="1" applyAlignment="1">
      <alignment horizontal="center" vertical="center" wrapText="1"/>
    </xf>
    <xf numFmtId="0" fontId="79" fillId="29" borderId="9" xfId="0" applyFont="1" applyFill="1" applyBorder="1" applyAlignment="1">
      <alignment horizontal="center" vertical="center" wrapText="1"/>
    </xf>
    <xf numFmtId="0" fontId="79" fillId="29" borderId="15" xfId="0" applyFont="1" applyFill="1" applyBorder="1" applyAlignment="1">
      <alignment horizontal="center" vertical="center" wrapText="1"/>
    </xf>
    <xf numFmtId="0" fontId="79" fillId="29" borderId="7" xfId="0" applyFont="1" applyFill="1" applyBorder="1" applyAlignment="1">
      <alignment horizontal="center" vertical="center" wrapText="1"/>
    </xf>
    <xf numFmtId="0" fontId="79" fillId="29" borderId="10" xfId="0" applyFont="1" applyFill="1" applyBorder="1" applyAlignment="1">
      <alignment horizontal="center" vertical="center" wrapText="1"/>
    </xf>
    <xf numFmtId="0" fontId="79" fillId="29" borderId="13" xfId="0" applyFont="1" applyFill="1" applyBorder="1" applyAlignment="1">
      <alignment horizontal="center" vertical="center" wrapText="1"/>
    </xf>
    <xf numFmtId="0" fontId="79" fillId="29" borderId="14" xfId="0" applyFont="1" applyFill="1" applyBorder="1" applyAlignment="1">
      <alignment horizontal="center" vertical="center" wrapText="1"/>
    </xf>
    <xf numFmtId="0" fontId="63" fillId="0" borderId="0" xfId="0" applyFont="1" applyAlignment="1">
      <alignment horizontal="left" vertical="center" wrapText="1" readingOrder="1"/>
    </xf>
    <xf numFmtId="3" fontId="63" fillId="2" borderId="30" xfId="0" applyNumberFormat="1" applyFont="1" applyFill="1" applyBorder="1" applyAlignment="1">
      <alignment horizontal="center" vertical="center" wrapText="1" readingOrder="1"/>
    </xf>
    <xf numFmtId="4" fontId="63" fillId="2" borderId="30" xfId="0" applyNumberFormat="1" applyFont="1" applyFill="1" applyBorder="1" applyAlignment="1">
      <alignment horizontal="center" vertical="center" wrapText="1" readingOrder="1"/>
    </xf>
    <xf numFmtId="0" fontId="6" fillId="0" borderId="0" xfId="0" applyFont="1"/>
    <xf numFmtId="0" fontId="63" fillId="4" borderId="30" xfId="0" applyFont="1" applyFill="1" applyBorder="1" applyAlignment="1">
      <alignment horizontal="right" vertical="center" wrapText="1" readingOrder="2"/>
    </xf>
    <xf numFmtId="0" fontId="75" fillId="29" borderId="17" xfId="0" applyFont="1" applyFill="1" applyBorder="1" applyAlignment="1">
      <alignment vertical="center" wrapText="1" readingOrder="2"/>
    </xf>
    <xf numFmtId="4" fontId="63" fillId="2" borderId="28" xfId="0" applyNumberFormat="1" applyFont="1" applyFill="1" applyBorder="1" applyAlignment="1">
      <alignment horizontal="center" vertical="center" wrapText="1" readingOrder="1"/>
    </xf>
    <xf numFmtId="2" fontId="63" fillId="2" borderId="30" xfId="0" applyNumberFormat="1" applyFont="1" applyFill="1" applyBorder="1" applyAlignment="1">
      <alignment horizontal="center" vertical="center" wrapText="1" readingOrder="1"/>
    </xf>
    <xf numFmtId="4" fontId="63" fillId="2" borderId="29" xfId="0" applyNumberFormat="1" applyFont="1" applyFill="1" applyBorder="1" applyAlignment="1">
      <alignment horizontal="center" vertical="center" wrapText="1" readingOrder="1"/>
    </xf>
    <xf numFmtId="0" fontId="76" fillId="5" borderId="0" xfId="0" applyFont="1" applyFill="1" applyAlignment="1">
      <alignment vertical="center" wrapText="1" readingOrder="1"/>
    </xf>
    <xf numFmtId="0" fontId="10" fillId="0" borderId="0" xfId="0" applyFont="1" applyAlignment="1">
      <alignment horizontal="right"/>
    </xf>
    <xf numFmtId="0" fontId="79" fillId="29" borderId="7" xfId="0" applyFont="1" applyFill="1" applyBorder="1" applyAlignment="1">
      <alignment vertical="center" wrapText="1"/>
    </xf>
    <xf numFmtId="0" fontId="6" fillId="0" borderId="0" xfId="0" applyFont="1" applyAlignment="1">
      <alignment horizontal="center" readingOrder="2"/>
    </xf>
    <xf numFmtId="0" fontId="67" fillId="0" borderId="0" xfId="0" applyFont="1" applyAlignment="1">
      <alignment readingOrder="2"/>
    </xf>
    <xf numFmtId="0" fontId="80" fillId="0" borderId="0" xfId="0" applyFont="1" applyAlignment="1">
      <alignment horizontal="center" vertical="center"/>
    </xf>
    <xf numFmtId="0" fontId="81" fillId="0" borderId="0" xfId="0" applyFont="1" applyAlignment="1">
      <alignment horizontal="center" vertical="center"/>
    </xf>
    <xf numFmtId="0" fontId="75" fillId="29" borderId="0" xfId="0" applyFont="1" applyFill="1" applyAlignment="1">
      <alignment horizontal="center" vertical="center" wrapText="1"/>
    </xf>
    <xf numFmtId="0" fontId="68" fillId="29" borderId="2" xfId="0" applyFont="1" applyFill="1" applyBorder="1" applyAlignment="1">
      <alignment horizontal="center" vertical="center" wrapText="1" readingOrder="1"/>
    </xf>
    <xf numFmtId="0" fontId="63" fillId="2" borderId="27" xfId="0" applyFont="1" applyFill="1" applyBorder="1" applyAlignment="1">
      <alignment vertical="center" wrapText="1" readingOrder="2"/>
    </xf>
    <xf numFmtId="0" fontId="79" fillId="29" borderId="14" xfId="0" applyFont="1" applyFill="1" applyBorder="1" applyAlignment="1">
      <alignment vertical="center" wrapText="1"/>
    </xf>
    <xf numFmtId="0" fontId="63" fillId="0" borderId="0" xfId="0" applyFont="1" applyAlignment="1">
      <alignment vertical="center" wrapText="1" readingOrder="1"/>
    </xf>
    <xf numFmtId="0" fontId="67" fillId="0" borderId="0" xfId="0" applyFont="1" applyAlignment="1">
      <alignment wrapText="1" readingOrder="1"/>
    </xf>
    <xf numFmtId="2" fontId="63" fillId="2" borderId="30" xfId="0" applyNumberFormat="1" applyFont="1" applyFill="1" applyBorder="1" applyAlignment="1">
      <alignment horizontal="center" vertical="center" readingOrder="1"/>
    </xf>
    <xf numFmtId="3" fontId="59" fillId="2" borderId="30" xfId="0" applyNumberFormat="1" applyFont="1" applyFill="1" applyBorder="1" applyAlignment="1">
      <alignment horizontal="center" vertical="center" wrapText="1" readingOrder="1"/>
    </xf>
    <xf numFmtId="0" fontId="63" fillId="0" borderId="0" xfId="0" applyFont="1" applyAlignment="1">
      <alignment vertical="center" readingOrder="1"/>
    </xf>
    <xf numFmtId="0" fontId="67" fillId="0" borderId="0" xfId="0" applyFont="1" applyAlignment="1">
      <alignment readingOrder="1"/>
    </xf>
    <xf numFmtId="0" fontId="63" fillId="0" borderId="0" xfId="0" applyFont="1" applyAlignment="1">
      <alignment vertical="center" readingOrder="2"/>
    </xf>
    <xf numFmtId="0" fontId="31" fillId="0" borderId="0" xfId="0" applyFont="1" applyAlignment="1">
      <alignment vertical="center" wrapText="1" readingOrder="2"/>
    </xf>
    <xf numFmtId="0" fontId="31" fillId="0" borderId="0" xfId="0" applyFont="1" applyAlignment="1">
      <alignment vertical="center" wrapText="1" readingOrder="1"/>
    </xf>
    <xf numFmtId="0" fontId="31" fillId="0" borderId="0" xfId="0" applyFont="1" applyAlignment="1">
      <alignment vertical="center" readingOrder="1"/>
    </xf>
    <xf numFmtId="4" fontId="59" fillId="2" borderId="30" xfId="0" applyNumberFormat="1" applyFont="1" applyFill="1" applyBorder="1" applyAlignment="1">
      <alignment horizontal="center" vertical="center" wrapText="1" readingOrder="1"/>
    </xf>
    <xf numFmtId="0" fontId="77" fillId="0" borderId="0" xfId="0" applyFont="1" applyAlignment="1">
      <alignment vertical="center"/>
    </xf>
    <xf numFmtId="0" fontId="79" fillId="29" borderId="31" xfId="0" applyFont="1" applyFill="1" applyBorder="1" applyAlignment="1">
      <alignment horizontal="center" vertical="center" wrapText="1"/>
    </xf>
    <xf numFmtId="4" fontId="70" fillId="2" borderId="31" xfId="0" applyNumberFormat="1" applyFont="1" applyFill="1" applyBorder="1" applyAlignment="1">
      <alignment horizontal="center" vertical="center" wrapText="1" readingOrder="1"/>
    </xf>
    <xf numFmtId="0" fontId="67" fillId="0" borderId="0" xfId="0" applyFont="1" applyAlignment="1">
      <alignment horizontal="right" readingOrder="2"/>
    </xf>
    <xf numFmtId="0" fontId="67" fillId="0" borderId="0" xfId="0" applyFont="1" applyAlignment="1">
      <alignment horizontal="left" vertical="center"/>
    </xf>
    <xf numFmtId="0" fontId="68" fillId="29" borderId="11" xfId="0" applyFont="1" applyFill="1" applyBorder="1" applyAlignment="1">
      <alignment horizontal="center" vertical="center" wrapText="1" readingOrder="2"/>
    </xf>
    <xf numFmtId="0" fontId="5" fillId="0" borderId="0" xfId="0" applyFont="1" applyAlignment="1">
      <alignment wrapText="1"/>
    </xf>
    <xf numFmtId="4" fontId="63" fillId="4" borderId="27" xfId="0" applyNumberFormat="1" applyFont="1" applyFill="1" applyBorder="1" applyAlignment="1">
      <alignment horizontal="center" vertical="center" wrapText="1" readingOrder="1"/>
    </xf>
    <xf numFmtId="3" fontId="70" fillId="0" borderId="0" xfId="0" applyNumberFormat="1" applyFont="1"/>
    <xf numFmtId="3" fontId="63" fillId="2" borderId="27" xfId="3" applyNumberFormat="1" applyFont="1" applyFill="1" applyBorder="1" applyAlignment="1">
      <alignment horizontal="center" vertical="center" readingOrder="2"/>
    </xf>
    <xf numFmtId="3" fontId="59" fillId="2" borderId="27" xfId="3" applyNumberFormat="1" applyFont="1" applyFill="1" applyBorder="1" applyAlignment="1">
      <alignment horizontal="center" vertical="center" readingOrder="1"/>
    </xf>
    <xf numFmtId="4" fontId="63" fillId="2" borderId="27" xfId="3" applyNumberFormat="1" applyFont="1" applyFill="1" applyBorder="1" applyAlignment="1">
      <alignment horizontal="center" vertical="center" readingOrder="2"/>
    </xf>
    <xf numFmtId="3" fontId="59" fillId="2" borderId="27" xfId="3" applyNumberFormat="1" applyFont="1" applyFill="1" applyBorder="1" applyAlignment="1">
      <alignment horizontal="center" vertical="center" readingOrder="2"/>
    </xf>
    <xf numFmtId="3" fontId="59" fillId="2" borderId="27" xfId="0" applyNumberFormat="1" applyFont="1" applyFill="1" applyBorder="1" applyAlignment="1">
      <alignment horizontal="center" vertical="center" readingOrder="1"/>
    </xf>
    <xf numFmtId="4" fontId="63" fillId="2" borderId="30" xfId="3" applyNumberFormat="1" applyFont="1" applyFill="1" applyBorder="1" applyAlignment="1">
      <alignment horizontal="center" vertical="center" readingOrder="2"/>
    </xf>
    <xf numFmtId="3" fontId="59" fillId="2" borderId="30" xfId="3" applyNumberFormat="1" applyFont="1" applyFill="1" applyBorder="1" applyAlignment="1">
      <alignment horizontal="center" vertical="center" readingOrder="2"/>
    </xf>
    <xf numFmtId="4" fontId="82" fillId="0" borderId="0" xfId="1276" applyNumberFormat="1" applyFont="1" applyBorder="1" applyAlignment="1">
      <alignment horizontal="right"/>
    </xf>
    <xf numFmtId="0" fontId="64" fillId="6" borderId="8" xfId="0" applyFont="1" applyFill="1" applyBorder="1" applyAlignment="1">
      <alignment horizontal="right" vertical="center" readingOrder="2"/>
    </xf>
    <xf numFmtId="0" fontId="64" fillId="6" borderId="0" xfId="2" applyFont="1" applyFill="1" applyBorder="1" applyAlignment="1">
      <alignment horizontal="right" vertical="center" readingOrder="2"/>
    </xf>
    <xf numFmtId="0" fontId="64" fillId="0" borderId="0" xfId="2" applyFont="1" applyFill="1" applyBorder="1" applyAlignment="1">
      <alignment horizontal="right" vertical="center" readingOrder="2"/>
    </xf>
    <xf numFmtId="3" fontId="84" fillId="0" borderId="0" xfId="0" applyNumberFormat="1" applyFont="1" applyAlignment="1">
      <alignment horizontal="center" vertical="center" readingOrder="2"/>
    </xf>
    <xf numFmtId="173" fontId="63" fillId="2" borderId="30" xfId="3" applyNumberFormat="1" applyFont="1" applyFill="1" applyBorder="1" applyAlignment="1">
      <alignment horizontal="center" vertical="center" readingOrder="2"/>
    </xf>
    <xf numFmtId="4" fontId="63" fillId="2" borderId="30" xfId="3" applyNumberFormat="1" applyFont="1" applyFill="1" applyBorder="1" applyAlignment="1">
      <alignment horizontal="center" vertical="center" wrapText="1" readingOrder="1"/>
    </xf>
    <xf numFmtId="173" fontId="59" fillId="2" borderId="30" xfId="3" applyNumberFormat="1" applyFont="1" applyFill="1" applyBorder="1" applyAlignment="1">
      <alignment horizontal="center" vertical="center" readingOrder="2"/>
    </xf>
    <xf numFmtId="3" fontId="63" fillId="2" borderId="30" xfId="3" applyNumberFormat="1" applyFont="1" applyFill="1" applyBorder="1" applyAlignment="1">
      <alignment horizontal="center" vertical="center" readingOrder="2"/>
    </xf>
    <xf numFmtId="174" fontId="10" fillId="0" borderId="0" xfId="1" applyNumberFormat="1" applyFont="1"/>
    <xf numFmtId="3" fontId="2" fillId="0" borderId="0" xfId="0" applyNumberFormat="1" applyFont="1"/>
    <xf numFmtId="175" fontId="10" fillId="0" borderId="0" xfId="3" applyNumberFormat="1" applyFont="1"/>
    <xf numFmtId="0" fontId="63" fillId="4" borderId="32" xfId="0" applyFont="1" applyFill="1" applyBorder="1" applyAlignment="1">
      <alignment vertical="center" wrapText="1" readingOrder="2"/>
    </xf>
    <xf numFmtId="0" fontId="87" fillId="0" borderId="0" xfId="0" applyFont="1" applyAlignment="1">
      <alignment horizontal="left" vertical="center" readingOrder="1"/>
    </xf>
    <xf numFmtId="3" fontId="86" fillId="2" borderId="1" xfId="3" applyNumberFormat="1" applyFont="1" applyFill="1" applyBorder="1" applyAlignment="1">
      <alignment horizontal="center" vertical="center" wrapText="1" readingOrder="2"/>
    </xf>
    <xf numFmtId="4" fontId="88" fillId="2" borderId="1" xfId="3" applyNumberFormat="1" applyFont="1" applyFill="1" applyBorder="1" applyAlignment="1">
      <alignment horizontal="center" vertical="center" wrapText="1" readingOrder="2"/>
    </xf>
    <xf numFmtId="4" fontId="86" fillId="2" borderId="1" xfId="3" applyNumberFormat="1" applyFont="1" applyFill="1" applyBorder="1" applyAlignment="1">
      <alignment horizontal="center" vertical="center" wrapText="1" readingOrder="2"/>
    </xf>
    <xf numFmtId="0" fontId="75" fillId="29" borderId="17" xfId="0" applyFont="1" applyFill="1" applyBorder="1" applyAlignment="1">
      <alignment horizontal="center" vertical="center" wrapText="1" readingOrder="2"/>
    </xf>
    <xf numFmtId="3" fontId="86" fillId="2" borderId="1" xfId="3" applyNumberFormat="1" applyFont="1" applyFill="1" applyBorder="1" applyAlignment="1">
      <alignment horizontal="center" vertical="center" wrapText="1" readingOrder="2"/>
    </xf>
    <xf numFmtId="4" fontId="88" fillId="2" borderId="1" xfId="3" applyNumberFormat="1" applyFont="1" applyFill="1" applyBorder="1" applyAlignment="1">
      <alignment horizontal="center" vertical="center" wrapText="1" readingOrder="2"/>
    </xf>
    <xf numFmtId="4" fontId="86" fillId="2" borderId="1" xfId="3" applyNumberFormat="1" applyFont="1" applyFill="1" applyBorder="1" applyAlignment="1">
      <alignment horizontal="center" vertical="center" wrapText="1" readingOrder="2"/>
    </xf>
    <xf numFmtId="4" fontId="86" fillId="2" borderId="1" xfId="0" applyNumberFormat="1" applyFont="1" applyFill="1" applyBorder="1" applyAlignment="1">
      <alignment horizontal="center" vertical="center" readingOrder="1"/>
    </xf>
    <xf numFmtId="4" fontId="90" fillId="2" borderId="1" xfId="0" applyNumberFormat="1" applyFont="1" applyFill="1" applyBorder="1" applyAlignment="1">
      <alignment horizontal="center" vertical="center" readingOrder="1"/>
    </xf>
    <xf numFmtId="0" fontId="64" fillId="6" borderId="8" xfId="2" applyFont="1" applyFill="1" applyBorder="1" applyAlignment="1">
      <alignment horizontal="left" vertical="center" readingOrder="2"/>
    </xf>
    <xf numFmtId="0" fontId="64" fillId="3" borderId="0" xfId="2" applyFont="1" applyFill="1" applyBorder="1" applyAlignment="1">
      <alignment horizontal="left" vertical="center" readingOrder="1"/>
    </xf>
    <xf numFmtId="0" fontId="64" fillId="6" borderId="0" xfId="2" applyFont="1" applyFill="1" applyAlignment="1">
      <alignment horizontal="left" vertical="center" wrapText="1" readingOrder="1"/>
    </xf>
    <xf numFmtId="0" fontId="64" fillId="0" borderId="0" xfId="2" applyFont="1" applyFill="1" applyAlignment="1">
      <alignment horizontal="left" vertical="center"/>
    </xf>
    <xf numFmtId="0" fontId="83" fillId="29" borderId="0" xfId="0" applyFont="1" applyFill="1" applyAlignment="1">
      <alignment horizontal="center" vertical="center" wrapText="1"/>
    </xf>
    <xf numFmtId="0" fontId="78" fillId="29" borderId="0" xfId="2" applyFont="1" applyFill="1" applyBorder="1" applyAlignment="1">
      <alignment horizontal="center" vertical="center" wrapText="1" readingOrder="2"/>
    </xf>
    <xf numFmtId="0" fontId="78" fillId="29" borderId="0" xfId="2" applyFont="1" applyFill="1" applyBorder="1" applyAlignment="1">
      <alignment horizontal="center" vertical="center" readingOrder="2"/>
    </xf>
    <xf numFmtId="0" fontId="64" fillId="3" borderId="0" xfId="2" applyFont="1" applyFill="1" applyBorder="1" applyAlignment="1">
      <alignment horizontal="left" vertical="center" wrapText="1" readingOrder="1"/>
    </xf>
    <xf numFmtId="0" fontId="64" fillId="6" borderId="0" xfId="2" applyFont="1" applyFill="1" applyAlignment="1">
      <alignment horizontal="left" vertical="center" readingOrder="1"/>
    </xf>
    <xf numFmtId="0" fontId="77" fillId="0" borderId="0" xfId="0" applyFont="1" applyAlignment="1">
      <alignment horizontal="center" vertical="center" wrapText="1"/>
    </xf>
    <xf numFmtId="0" fontId="67" fillId="0" borderId="0" xfId="0" applyFont="1" applyAlignment="1">
      <alignment horizontal="left" vertical="top" wrapText="1"/>
    </xf>
    <xf numFmtId="0" fontId="77" fillId="0" borderId="0" xfId="0" applyFont="1" applyAlignment="1">
      <alignment horizontal="center" vertical="center" wrapText="1" readingOrder="2"/>
    </xf>
  </cellXfs>
  <cellStyles count="1328">
    <cellStyle name="20% - Accent1 2" xfId="25" xr:uid="{00000000-0005-0000-0000-000000000000}"/>
    <cellStyle name="20% - Accent1 3" xfId="28" xr:uid="{00000000-0005-0000-0000-000001000000}"/>
    <cellStyle name="20% - Accent1 4" xfId="31" xr:uid="{00000000-0005-0000-0000-000002000000}"/>
    <cellStyle name="20% - Accent1 5" xfId="35" xr:uid="{00000000-0005-0000-0000-000003000000}"/>
    <cellStyle name="20% - Accent1 6" xfId="33" xr:uid="{00000000-0005-0000-0000-000004000000}"/>
    <cellStyle name="20% - Accent2 2" xfId="30" xr:uid="{00000000-0005-0000-0000-000005000000}"/>
    <cellStyle name="20% - Accent2 3" xfId="26" xr:uid="{00000000-0005-0000-0000-000006000000}"/>
    <cellStyle name="20% - Accent2 4" xfId="29" xr:uid="{00000000-0005-0000-0000-000007000000}"/>
    <cellStyle name="20% - Accent2 5" xfId="32" xr:uid="{00000000-0005-0000-0000-000008000000}"/>
    <cellStyle name="20% - Accent2 6" xfId="36" xr:uid="{00000000-0005-0000-0000-000009000000}"/>
    <cellStyle name="20% - Accent3 2" xfId="37" xr:uid="{00000000-0005-0000-0000-00000A000000}"/>
    <cellStyle name="20% - Accent3 3" xfId="38" xr:uid="{00000000-0005-0000-0000-00000B000000}"/>
    <cellStyle name="20% - Accent3 4" xfId="39" xr:uid="{00000000-0005-0000-0000-00000C000000}"/>
    <cellStyle name="20% - Accent3 5" xfId="40" xr:uid="{00000000-0005-0000-0000-00000D000000}"/>
    <cellStyle name="20% - Accent3 6" xfId="41" xr:uid="{00000000-0005-0000-0000-00000E000000}"/>
    <cellStyle name="20% - Accent4 2" xfId="42" xr:uid="{00000000-0005-0000-0000-00000F000000}"/>
    <cellStyle name="20% - Accent4 3" xfId="43" xr:uid="{00000000-0005-0000-0000-000010000000}"/>
    <cellStyle name="20% - Accent4 4" xfId="44" xr:uid="{00000000-0005-0000-0000-000011000000}"/>
    <cellStyle name="20% - Accent4 5" xfId="45" xr:uid="{00000000-0005-0000-0000-000012000000}"/>
    <cellStyle name="20% - Accent4 6" xfId="46" xr:uid="{00000000-0005-0000-0000-000013000000}"/>
    <cellStyle name="20% - Accent5 2" xfId="47" xr:uid="{00000000-0005-0000-0000-000014000000}"/>
    <cellStyle name="20% - Accent5 3" xfId="48" xr:uid="{00000000-0005-0000-0000-000015000000}"/>
    <cellStyle name="20% - Accent5 4" xfId="49" xr:uid="{00000000-0005-0000-0000-000016000000}"/>
    <cellStyle name="20% - Accent5 5" xfId="50" xr:uid="{00000000-0005-0000-0000-000017000000}"/>
    <cellStyle name="20% - Accent5 6" xfId="51" xr:uid="{00000000-0005-0000-0000-000018000000}"/>
    <cellStyle name="20% - Accent6 2" xfId="52" xr:uid="{00000000-0005-0000-0000-000019000000}"/>
    <cellStyle name="20% - Accent6 3" xfId="53" xr:uid="{00000000-0005-0000-0000-00001A000000}"/>
    <cellStyle name="20% - Accent6 4" xfId="54" xr:uid="{00000000-0005-0000-0000-00001B000000}"/>
    <cellStyle name="20% - Accent6 5" xfId="55" xr:uid="{00000000-0005-0000-0000-00001C000000}"/>
    <cellStyle name="20% - Accent6 6" xfId="56" xr:uid="{00000000-0005-0000-0000-00001D000000}"/>
    <cellStyle name="40% - Accent1 2" xfId="57" xr:uid="{00000000-0005-0000-0000-00001E000000}"/>
    <cellStyle name="40% - Accent1 3" xfId="58" xr:uid="{00000000-0005-0000-0000-00001F000000}"/>
    <cellStyle name="40% - Accent1 4" xfId="59" xr:uid="{00000000-0005-0000-0000-000020000000}"/>
    <cellStyle name="40% - Accent1 5" xfId="60" xr:uid="{00000000-0005-0000-0000-000021000000}"/>
    <cellStyle name="40% - Accent1 6" xfId="61" xr:uid="{00000000-0005-0000-0000-000022000000}"/>
    <cellStyle name="40% - Accent2 2" xfId="62" xr:uid="{00000000-0005-0000-0000-000023000000}"/>
    <cellStyle name="40% - Accent2 3" xfId="63" xr:uid="{00000000-0005-0000-0000-000024000000}"/>
    <cellStyle name="40% - Accent2 4" xfId="64" xr:uid="{00000000-0005-0000-0000-000025000000}"/>
    <cellStyle name="40% - Accent2 5" xfId="65" xr:uid="{00000000-0005-0000-0000-000026000000}"/>
    <cellStyle name="40% - Accent2 6" xfId="66" xr:uid="{00000000-0005-0000-0000-000027000000}"/>
    <cellStyle name="40% - Accent3 2" xfId="67" xr:uid="{00000000-0005-0000-0000-000028000000}"/>
    <cellStyle name="40% - Accent3 3" xfId="68" xr:uid="{00000000-0005-0000-0000-000029000000}"/>
    <cellStyle name="40% - Accent3 4" xfId="69" xr:uid="{00000000-0005-0000-0000-00002A000000}"/>
    <cellStyle name="40% - Accent3 5" xfId="70" xr:uid="{00000000-0005-0000-0000-00002B000000}"/>
    <cellStyle name="40% - Accent3 6" xfId="71" xr:uid="{00000000-0005-0000-0000-00002C000000}"/>
    <cellStyle name="40% - Accent4 2" xfId="72" xr:uid="{00000000-0005-0000-0000-00002D000000}"/>
    <cellStyle name="40% - Accent4 3" xfId="73" xr:uid="{00000000-0005-0000-0000-00002E000000}"/>
    <cellStyle name="40% - Accent4 4" xfId="74" xr:uid="{00000000-0005-0000-0000-00002F000000}"/>
    <cellStyle name="40% - Accent4 5" xfId="75" xr:uid="{00000000-0005-0000-0000-000030000000}"/>
    <cellStyle name="40% - Accent4 6" xfId="76" xr:uid="{00000000-0005-0000-0000-000031000000}"/>
    <cellStyle name="40% - Accent5 2" xfId="77" xr:uid="{00000000-0005-0000-0000-000032000000}"/>
    <cellStyle name="40% - Accent5 3" xfId="78" xr:uid="{00000000-0005-0000-0000-000033000000}"/>
    <cellStyle name="40% - Accent5 4" xfId="79" xr:uid="{00000000-0005-0000-0000-000034000000}"/>
    <cellStyle name="40% - Accent5 5" xfId="80" xr:uid="{00000000-0005-0000-0000-000035000000}"/>
    <cellStyle name="40% - Accent5 6" xfId="81" xr:uid="{00000000-0005-0000-0000-000036000000}"/>
    <cellStyle name="40% - Accent6 2" xfId="82" xr:uid="{00000000-0005-0000-0000-000037000000}"/>
    <cellStyle name="40% - Accent6 3" xfId="83" xr:uid="{00000000-0005-0000-0000-000038000000}"/>
    <cellStyle name="40% - Accent6 4" xfId="84" xr:uid="{00000000-0005-0000-0000-000039000000}"/>
    <cellStyle name="40% - Accent6 5" xfId="85" xr:uid="{00000000-0005-0000-0000-00003A000000}"/>
    <cellStyle name="40% - Accent6 6" xfId="86" xr:uid="{00000000-0005-0000-0000-00003B000000}"/>
    <cellStyle name="60% - Accent1 2" xfId="87" xr:uid="{00000000-0005-0000-0000-00003C000000}"/>
    <cellStyle name="60% - Accent1 3" xfId="88" xr:uid="{00000000-0005-0000-0000-00003D000000}"/>
    <cellStyle name="60% - Accent1 4" xfId="89" xr:uid="{00000000-0005-0000-0000-00003E000000}"/>
    <cellStyle name="60% - Accent1 5" xfId="90" xr:uid="{00000000-0005-0000-0000-00003F000000}"/>
    <cellStyle name="60% - Accent1 6" xfId="91" xr:uid="{00000000-0005-0000-0000-000040000000}"/>
    <cellStyle name="60% - Accent2 2" xfId="92" xr:uid="{00000000-0005-0000-0000-000041000000}"/>
    <cellStyle name="60% - Accent2 3" xfId="93" xr:uid="{00000000-0005-0000-0000-000042000000}"/>
    <cellStyle name="60% - Accent2 4" xfId="94" xr:uid="{00000000-0005-0000-0000-000043000000}"/>
    <cellStyle name="60% - Accent2 5" xfId="95" xr:uid="{00000000-0005-0000-0000-000044000000}"/>
    <cellStyle name="60% - Accent2 6" xfId="96" xr:uid="{00000000-0005-0000-0000-000045000000}"/>
    <cellStyle name="60% - Accent3 2" xfId="97" xr:uid="{00000000-0005-0000-0000-000046000000}"/>
    <cellStyle name="60% - Accent3 3" xfId="98" xr:uid="{00000000-0005-0000-0000-000047000000}"/>
    <cellStyle name="60% - Accent3 4" xfId="99" xr:uid="{00000000-0005-0000-0000-000048000000}"/>
    <cellStyle name="60% - Accent3 5" xfId="100" xr:uid="{00000000-0005-0000-0000-000049000000}"/>
    <cellStyle name="60% - Accent3 6" xfId="101" xr:uid="{00000000-0005-0000-0000-00004A000000}"/>
    <cellStyle name="60% - Accent4 2" xfId="102" xr:uid="{00000000-0005-0000-0000-00004B000000}"/>
    <cellStyle name="60% - Accent4 3" xfId="103" xr:uid="{00000000-0005-0000-0000-00004C000000}"/>
    <cellStyle name="60% - Accent4 4" xfId="104" xr:uid="{00000000-0005-0000-0000-00004D000000}"/>
    <cellStyle name="60% - Accent4 5" xfId="105" xr:uid="{00000000-0005-0000-0000-00004E000000}"/>
    <cellStyle name="60% - Accent4 6" xfId="106" xr:uid="{00000000-0005-0000-0000-00004F000000}"/>
    <cellStyle name="60% - Accent5 2" xfId="107" xr:uid="{00000000-0005-0000-0000-000050000000}"/>
    <cellStyle name="60% - Accent5 3" xfId="108" xr:uid="{00000000-0005-0000-0000-000051000000}"/>
    <cellStyle name="60% - Accent5 4" xfId="109" xr:uid="{00000000-0005-0000-0000-000052000000}"/>
    <cellStyle name="60% - Accent5 5" xfId="110" xr:uid="{00000000-0005-0000-0000-000053000000}"/>
    <cellStyle name="60% - Accent5 6" xfId="111" xr:uid="{00000000-0005-0000-0000-000054000000}"/>
    <cellStyle name="60% - Accent6 2" xfId="112" xr:uid="{00000000-0005-0000-0000-000055000000}"/>
    <cellStyle name="60% - Accent6 3" xfId="113" xr:uid="{00000000-0005-0000-0000-000056000000}"/>
    <cellStyle name="60% - Accent6 4" xfId="114" xr:uid="{00000000-0005-0000-0000-000057000000}"/>
    <cellStyle name="60% - Accent6 5" xfId="115" xr:uid="{00000000-0005-0000-0000-000058000000}"/>
    <cellStyle name="60% - Accent6 6" xfId="116" xr:uid="{00000000-0005-0000-0000-000059000000}"/>
    <cellStyle name="Accent1 2" xfId="117" xr:uid="{00000000-0005-0000-0000-00005A000000}"/>
    <cellStyle name="Accent1 3" xfId="118" xr:uid="{00000000-0005-0000-0000-00005B000000}"/>
    <cellStyle name="Accent1 4" xfId="119" xr:uid="{00000000-0005-0000-0000-00005C000000}"/>
    <cellStyle name="Accent1 5" xfId="120" xr:uid="{00000000-0005-0000-0000-00005D000000}"/>
    <cellStyle name="Accent1 6" xfId="121" xr:uid="{00000000-0005-0000-0000-00005E000000}"/>
    <cellStyle name="Accent2 2" xfId="122" xr:uid="{00000000-0005-0000-0000-00005F000000}"/>
    <cellStyle name="Accent2 3" xfId="123" xr:uid="{00000000-0005-0000-0000-000060000000}"/>
    <cellStyle name="Accent2 4" xfId="124" xr:uid="{00000000-0005-0000-0000-000061000000}"/>
    <cellStyle name="Accent2 5" xfId="125" xr:uid="{00000000-0005-0000-0000-000062000000}"/>
    <cellStyle name="Accent2 6" xfId="126" xr:uid="{00000000-0005-0000-0000-000063000000}"/>
    <cellStyle name="Accent3 2" xfId="127" xr:uid="{00000000-0005-0000-0000-000064000000}"/>
    <cellStyle name="Accent3 3" xfId="128" xr:uid="{00000000-0005-0000-0000-000065000000}"/>
    <cellStyle name="Accent3 4" xfId="129" xr:uid="{00000000-0005-0000-0000-000066000000}"/>
    <cellStyle name="Accent3 5" xfId="130" xr:uid="{00000000-0005-0000-0000-000067000000}"/>
    <cellStyle name="Accent3 6" xfId="131" xr:uid="{00000000-0005-0000-0000-000068000000}"/>
    <cellStyle name="Accent4 2" xfId="132" xr:uid="{00000000-0005-0000-0000-000069000000}"/>
    <cellStyle name="Accent4 3" xfId="133" xr:uid="{00000000-0005-0000-0000-00006A000000}"/>
    <cellStyle name="Accent4 4" xfId="134" xr:uid="{00000000-0005-0000-0000-00006B000000}"/>
    <cellStyle name="Accent4 5" xfId="135" xr:uid="{00000000-0005-0000-0000-00006C000000}"/>
    <cellStyle name="Accent4 6" xfId="136" xr:uid="{00000000-0005-0000-0000-00006D000000}"/>
    <cellStyle name="Accent5 2" xfId="137" xr:uid="{00000000-0005-0000-0000-00006E000000}"/>
    <cellStyle name="Accent5 3" xfId="138" xr:uid="{00000000-0005-0000-0000-00006F000000}"/>
    <cellStyle name="Accent5 4" xfId="139" xr:uid="{00000000-0005-0000-0000-000070000000}"/>
    <cellStyle name="Accent5 5" xfId="140" xr:uid="{00000000-0005-0000-0000-000071000000}"/>
    <cellStyle name="Accent5 6" xfId="141" xr:uid="{00000000-0005-0000-0000-000072000000}"/>
    <cellStyle name="Accent6 2" xfId="142" xr:uid="{00000000-0005-0000-0000-000073000000}"/>
    <cellStyle name="Accent6 3" xfId="143" xr:uid="{00000000-0005-0000-0000-000074000000}"/>
    <cellStyle name="Accent6 4" xfId="144" xr:uid="{00000000-0005-0000-0000-000075000000}"/>
    <cellStyle name="Accent6 5" xfId="145" xr:uid="{00000000-0005-0000-0000-000076000000}"/>
    <cellStyle name="Accent6 6" xfId="146" xr:uid="{00000000-0005-0000-0000-000077000000}"/>
    <cellStyle name="Bad 2" xfId="147" xr:uid="{00000000-0005-0000-0000-000078000000}"/>
    <cellStyle name="Bad 3" xfId="148" xr:uid="{00000000-0005-0000-0000-000079000000}"/>
    <cellStyle name="Bad 4" xfId="149" xr:uid="{00000000-0005-0000-0000-00007A000000}"/>
    <cellStyle name="Bad 5" xfId="150" xr:uid="{00000000-0005-0000-0000-00007B000000}"/>
    <cellStyle name="Bad 6" xfId="151" xr:uid="{00000000-0005-0000-0000-00007C000000}"/>
    <cellStyle name="Calculation 2" xfId="152" xr:uid="{00000000-0005-0000-0000-00007D000000}"/>
    <cellStyle name="Calculation 3" xfId="153" xr:uid="{00000000-0005-0000-0000-00007E000000}"/>
    <cellStyle name="Calculation 4" xfId="154" xr:uid="{00000000-0005-0000-0000-00007F000000}"/>
    <cellStyle name="Calculation 5" xfId="155" xr:uid="{00000000-0005-0000-0000-000080000000}"/>
    <cellStyle name="Calculation 6" xfId="156" xr:uid="{00000000-0005-0000-0000-000081000000}"/>
    <cellStyle name="Check Cell 2" xfId="157" xr:uid="{00000000-0005-0000-0000-000082000000}"/>
    <cellStyle name="Check Cell 3" xfId="158" xr:uid="{00000000-0005-0000-0000-000083000000}"/>
    <cellStyle name="Check Cell 4" xfId="159" xr:uid="{00000000-0005-0000-0000-000084000000}"/>
    <cellStyle name="Check Cell 5" xfId="160" xr:uid="{00000000-0005-0000-0000-000085000000}"/>
    <cellStyle name="Check Cell 6" xfId="161" xr:uid="{00000000-0005-0000-0000-000086000000}"/>
    <cellStyle name="Comma" xfId="3" builtinId="3"/>
    <cellStyle name="Comma 10" xfId="343" xr:uid="{00000000-0005-0000-0000-000088000000}"/>
    <cellStyle name="Comma 10 2" xfId="348" xr:uid="{00000000-0005-0000-0000-000089000000}"/>
    <cellStyle name="Comma 10 2 2" xfId="812" xr:uid="{00000000-0005-0000-0000-00008A000000}"/>
    <cellStyle name="Comma 10 2 3" xfId="1247" xr:uid="{00000000-0005-0000-0000-00008B000000}"/>
    <cellStyle name="Comma 10 3" xfId="811" xr:uid="{00000000-0005-0000-0000-00008C000000}"/>
    <cellStyle name="Comma 10 4" xfId="1246" xr:uid="{00000000-0005-0000-0000-00008D000000}"/>
    <cellStyle name="Comma 11" xfId="389" xr:uid="{00000000-0005-0000-0000-00008E000000}"/>
    <cellStyle name="Comma 11 2" xfId="430" xr:uid="{00000000-0005-0000-0000-00008F000000}"/>
    <cellStyle name="Comma 11 2 2" xfId="546" xr:uid="{00000000-0005-0000-0000-000090000000}"/>
    <cellStyle name="Comma 11 2 2 2" xfId="757" xr:uid="{00000000-0005-0000-0000-000091000000}"/>
    <cellStyle name="Comma 11 2 2 2 2" xfId="1196" xr:uid="{00000000-0005-0000-0000-000092000000}"/>
    <cellStyle name="Comma 11 2 2 3" xfId="985" xr:uid="{00000000-0005-0000-0000-000093000000}"/>
    <cellStyle name="Comma 11 2 3" xfId="645" xr:uid="{00000000-0005-0000-0000-000094000000}"/>
    <cellStyle name="Comma 11 2 3 2" xfId="1084" xr:uid="{00000000-0005-0000-0000-000095000000}"/>
    <cellStyle name="Comma 11 2 4" xfId="872" xr:uid="{00000000-0005-0000-0000-000096000000}"/>
    <cellStyle name="Comma 11 3" xfId="506" xr:uid="{00000000-0005-0000-0000-000097000000}"/>
    <cellStyle name="Comma 11 3 2" xfId="717" xr:uid="{00000000-0005-0000-0000-000098000000}"/>
    <cellStyle name="Comma 11 3 2 2" xfId="1156" xr:uid="{00000000-0005-0000-0000-000099000000}"/>
    <cellStyle name="Comma 11 3 3" xfId="945" xr:uid="{00000000-0005-0000-0000-00009A000000}"/>
    <cellStyle name="Comma 11 4" xfId="605" xr:uid="{00000000-0005-0000-0000-00009B000000}"/>
    <cellStyle name="Comma 11 4 2" xfId="1044" xr:uid="{00000000-0005-0000-0000-00009C000000}"/>
    <cellStyle name="Comma 11 5" xfId="831" xr:uid="{00000000-0005-0000-0000-00009D000000}"/>
    <cellStyle name="Comma 11 6" xfId="1266" xr:uid="{00000000-0005-0000-0000-00009E000000}"/>
    <cellStyle name="Comma 11 7" xfId="1322" xr:uid="{D6FCD4EA-0515-4B01-A3C3-3758BD90CBC5}"/>
    <cellStyle name="Comma 12" xfId="391" xr:uid="{00000000-0005-0000-0000-00009F000000}"/>
    <cellStyle name="Comma 12 2" xfId="432" xr:uid="{00000000-0005-0000-0000-0000A0000000}"/>
    <cellStyle name="Comma 12 2 2" xfId="548" xr:uid="{00000000-0005-0000-0000-0000A1000000}"/>
    <cellStyle name="Comma 12 2 2 2" xfId="759" xr:uid="{00000000-0005-0000-0000-0000A2000000}"/>
    <cellStyle name="Comma 12 2 2 2 2" xfId="1198" xr:uid="{00000000-0005-0000-0000-0000A3000000}"/>
    <cellStyle name="Comma 12 2 2 3" xfId="987" xr:uid="{00000000-0005-0000-0000-0000A4000000}"/>
    <cellStyle name="Comma 12 2 3" xfId="647" xr:uid="{00000000-0005-0000-0000-0000A5000000}"/>
    <cellStyle name="Comma 12 2 3 2" xfId="1086" xr:uid="{00000000-0005-0000-0000-0000A6000000}"/>
    <cellStyle name="Comma 12 2 4" xfId="874" xr:uid="{00000000-0005-0000-0000-0000A7000000}"/>
    <cellStyle name="Comma 12 3" xfId="508" xr:uid="{00000000-0005-0000-0000-0000A8000000}"/>
    <cellStyle name="Comma 12 3 2" xfId="719" xr:uid="{00000000-0005-0000-0000-0000A9000000}"/>
    <cellStyle name="Comma 12 3 2 2" xfId="1158" xr:uid="{00000000-0005-0000-0000-0000AA000000}"/>
    <cellStyle name="Comma 12 3 3" xfId="947" xr:uid="{00000000-0005-0000-0000-0000AB000000}"/>
    <cellStyle name="Comma 12 4" xfId="607" xr:uid="{00000000-0005-0000-0000-0000AC000000}"/>
    <cellStyle name="Comma 12 4 2" xfId="1046" xr:uid="{00000000-0005-0000-0000-0000AD000000}"/>
    <cellStyle name="Comma 12 5" xfId="833" xr:uid="{00000000-0005-0000-0000-0000AE000000}"/>
    <cellStyle name="Comma 12 6" xfId="1268" xr:uid="{00000000-0005-0000-0000-0000AF000000}"/>
    <cellStyle name="Comma 12 7" xfId="1324" xr:uid="{AB34180A-EB76-45FF-B12B-779018EAD2C1}"/>
    <cellStyle name="Comma 13" xfId="781" xr:uid="{00000000-0005-0000-0000-0000B0000000}"/>
    <cellStyle name="Comma 14" xfId="1221" xr:uid="{00000000-0005-0000-0000-0000B1000000}"/>
    <cellStyle name="Comma 15" xfId="1271" xr:uid="{00000000-0005-0000-0000-0000B2000000}"/>
    <cellStyle name="Comma 16" xfId="1276" xr:uid="{00000000-0005-0000-0000-000028050000}"/>
    <cellStyle name="Comma 2" xfId="4" xr:uid="{00000000-0005-0000-0000-0000B3000000}"/>
    <cellStyle name="Comma 2 2" xfId="7" xr:uid="{00000000-0005-0000-0000-0000B4000000}"/>
    <cellStyle name="Comma 2 2 2" xfId="18" xr:uid="{00000000-0005-0000-0000-0000B5000000}"/>
    <cellStyle name="Comma 2 2 2 2" xfId="790" xr:uid="{00000000-0005-0000-0000-0000B6000000}"/>
    <cellStyle name="Comma 2 2 2 3" xfId="1286" xr:uid="{F7274833-5182-4161-96E2-2678B6969EE0}"/>
    <cellStyle name="Comma 2 2 3" xfId="163" xr:uid="{00000000-0005-0000-0000-0000B7000000}"/>
    <cellStyle name="Comma 2 2 3 2" xfId="797" xr:uid="{00000000-0005-0000-0000-0000B8000000}"/>
    <cellStyle name="Comma 2 2 3 3" xfId="1292" xr:uid="{3533602B-763C-4C0A-8633-427E8D8B4B3F}"/>
    <cellStyle name="Comma 2 2 4" xfId="468" xr:uid="{00000000-0005-0000-0000-0000B9000000}"/>
    <cellStyle name="Comma 2 2 4 2" xfId="910" xr:uid="{00000000-0005-0000-0000-0000BA000000}"/>
    <cellStyle name="Comma 2 2 5" xfId="783" xr:uid="{00000000-0005-0000-0000-0000BB000000}"/>
    <cellStyle name="Comma 2 2 6" xfId="1225" xr:uid="{00000000-0005-0000-0000-0000BC000000}"/>
    <cellStyle name="Comma 2 3" xfId="164" xr:uid="{00000000-0005-0000-0000-0000BD000000}"/>
    <cellStyle name="Comma 2 3 2" xfId="798" xr:uid="{00000000-0005-0000-0000-0000BE000000}"/>
    <cellStyle name="Comma 2 3 3" xfId="1293" xr:uid="{079357BC-3ADF-4034-A247-A05EC04630AA}"/>
    <cellStyle name="Comma 2 4" xfId="162" xr:uid="{00000000-0005-0000-0000-0000BF000000}"/>
    <cellStyle name="Comma 2 4 2" xfId="796" xr:uid="{00000000-0005-0000-0000-0000C0000000}"/>
    <cellStyle name="Comma 2 4 3" xfId="1237" xr:uid="{00000000-0005-0000-0000-0000C1000000}"/>
    <cellStyle name="Comma 2 5" xfId="392" xr:uid="{00000000-0005-0000-0000-0000C2000000}"/>
    <cellStyle name="Comma 2 5 2" xfId="433" xr:uid="{00000000-0005-0000-0000-0000C3000000}"/>
    <cellStyle name="Comma 2 5 2 2" xfId="549" xr:uid="{00000000-0005-0000-0000-0000C4000000}"/>
    <cellStyle name="Comma 2 5 2 2 2" xfId="760" xr:uid="{00000000-0005-0000-0000-0000C5000000}"/>
    <cellStyle name="Comma 2 5 2 2 2 2" xfId="1199" xr:uid="{00000000-0005-0000-0000-0000C6000000}"/>
    <cellStyle name="Comma 2 5 2 2 3" xfId="988" xr:uid="{00000000-0005-0000-0000-0000C7000000}"/>
    <cellStyle name="Comma 2 5 2 3" xfId="648" xr:uid="{00000000-0005-0000-0000-0000C8000000}"/>
    <cellStyle name="Comma 2 5 2 3 2" xfId="1087" xr:uid="{00000000-0005-0000-0000-0000C9000000}"/>
    <cellStyle name="Comma 2 5 2 4" xfId="875" xr:uid="{00000000-0005-0000-0000-0000CA000000}"/>
    <cellStyle name="Comma 2 5 3" xfId="509" xr:uid="{00000000-0005-0000-0000-0000CB000000}"/>
    <cellStyle name="Comma 2 5 3 2" xfId="720" xr:uid="{00000000-0005-0000-0000-0000CC000000}"/>
    <cellStyle name="Comma 2 5 3 2 2" xfId="1159" xr:uid="{00000000-0005-0000-0000-0000CD000000}"/>
    <cellStyle name="Comma 2 5 3 3" xfId="948" xr:uid="{00000000-0005-0000-0000-0000CE000000}"/>
    <cellStyle name="Comma 2 5 4" xfId="608" xr:uid="{00000000-0005-0000-0000-0000CF000000}"/>
    <cellStyle name="Comma 2 5 4 2" xfId="1047" xr:uid="{00000000-0005-0000-0000-0000D0000000}"/>
    <cellStyle name="Comma 2 5 5" xfId="834" xr:uid="{00000000-0005-0000-0000-0000D1000000}"/>
    <cellStyle name="Comma 2 5 6" xfId="1269" xr:uid="{00000000-0005-0000-0000-0000D2000000}"/>
    <cellStyle name="Comma 2 5 7" xfId="1325" xr:uid="{A040BCEA-FAA9-4834-87AB-5545C795741D}"/>
    <cellStyle name="Comma 2 6" xfId="394" xr:uid="{00000000-0005-0000-0000-0000D3000000}"/>
    <cellStyle name="Comma 2 6 2" xfId="836" xr:uid="{00000000-0005-0000-0000-0000D4000000}"/>
    <cellStyle name="Comma 2 6 3" xfId="1279" xr:uid="{F9296981-B537-4038-8B6E-C9CE76CD2F17}"/>
    <cellStyle name="Comma 2 7" xfId="1223" xr:uid="{00000000-0005-0000-0000-0000D5000000}"/>
    <cellStyle name="Comma 3" xfId="9" xr:uid="{00000000-0005-0000-0000-0000D6000000}"/>
    <cellStyle name="Comma 3 10" xfId="1226" xr:uid="{00000000-0005-0000-0000-0000D7000000}"/>
    <cellStyle name="Comma 3 11" xfId="1281" xr:uid="{15A67C8E-6F68-4068-ABB1-1D8E673268F7}"/>
    <cellStyle name="Comma 3 2" xfId="23" xr:uid="{00000000-0005-0000-0000-0000D8000000}"/>
    <cellStyle name="Comma 3 2 10" xfId="1235" xr:uid="{00000000-0005-0000-0000-0000D9000000}"/>
    <cellStyle name="Comma 3 2 11" xfId="1290" xr:uid="{186BE999-0BFD-43C6-93A0-91DCB7690ACC}"/>
    <cellStyle name="Comma 3 2 2" xfId="165" xr:uid="{00000000-0005-0000-0000-0000DA000000}"/>
    <cellStyle name="Comma 3 2 2 2" xfId="799" xr:uid="{00000000-0005-0000-0000-0000DB000000}"/>
    <cellStyle name="Comma 3 2 2 3" xfId="1294" xr:uid="{5E137B7F-C220-43AD-9A80-4852A4B3DC93}"/>
    <cellStyle name="Comma 3 2 3" xfId="380" xr:uid="{00000000-0005-0000-0000-0000DC000000}"/>
    <cellStyle name="Comma 3 2 3 2" xfId="421" xr:uid="{00000000-0005-0000-0000-0000DD000000}"/>
    <cellStyle name="Comma 3 2 3 2 2" xfId="537" xr:uid="{00000000-0005-0000-0000-0000DE000000}"/>
    <cellStyle name="Comma 3 2 3 2 2 2" xfId="748" xr:uid="{00000000-0005-0000-0000-0000DF000000}"/>
    <cellStyle name="Comma 3 2 3 2 2 2 2" xfId="1187" xr:uid="{00000000-0005-0000-0000-0000E0000000}"/>
    <cellStyle name="Comma 3 2 3 2 2 3" xfId="976" xr:uid="{00000000-0005-0000-0000-0000E1000000}"/>
    <cellStyle name="Comma 3 2 3 2 3" xfId="636" xr:uid="{00000000-0005-0000-0000-0000E2000000}"/>
    <cellStyle name="Comma 3 2 3 2 3 2" xfId="1075" xr:uid="{00000000-0005-0000-0000-0000E3000000}"/>
    <cellStyle name="Comma 3 2 3 2 4" xfId="863" xr:uid="{00000000-0005-0000-0000-0000E4000000}"/>
    <cellStyle name="Comma 3 2 3 3" xfId="497" xr:uid="{00000000-0005-0000-0000-0000E5000000}"/>
    <cellStyle name="Comma 3 2 3 3 2" xfId="708" xr:uid="{00000000-0005-0000-0000-0000E6000000}"/>
    <cellStyle name="Comma 3 2 3 3 2 2" xfId="1147" xr:uid="{00000000-0005-0000-0000-0000E7000000}"/>
    <cellStyle name="Comma 3 2 3 3 3" xfId="936" xr:uid="{00000000-0005-0000-0000-0000E8000000}"/>
    <cellStyle name="Comma 3 2 3 4" xfId="596" xr:uid="{00000000-0005-0000-0000-0000E9000000}"/>
    <cellStyle name="Comma 3 2 3 4 2" xfId="1035" xr:uid="{00000000-0005-0000-0000-0000EA000000}"/>
    <cellStyle name="Comma 3 2 3 5" xfId="822" xr:uid="{00000000-0005-0000-0000-0000EB000000}"/>
    <cellStyle name="Comma 3 2 3 6" xfId="1257" xr:uid="{00000000-0005-0000-0000-0000EC000000}"/>
    <cellStyle name="Comma 3 2 3 7" xfId="1313" xr:uid="{5533375C-B13E-400F-BC76-D80C3E3DAD7A}"/>
    <cellStyle name="Comma 3 2 4" xfId="404" xr:uid="{00000000-0005-0000-0000-0000ED000000}"/>
    <cellStyle name="Comma 3 2 4 2" xfId="520" xr:uid="{00000000-0005-0000-0000-0000EE000000}"/>
    <cellStyle name="Comma 3 2 4 2 2" xfId="731" xr:uid="{00000000-0005-0000-0000-0000EF000000}"/>
    <cellStyle name="Comma 3 2 4 2 2 2" xfId="1170" xr:uid="{00000000-0005-0000-0000-0000F0000000}"/>
    <cellStyle name="Comma 3 2 4 2 3" xfId="959" xr:uid="{00000000-0005-0000-0000-0000F1000000}"/>
    <cellStyle name="Comma 3 2 4 3" xfId="619" xr:uid="{00000000-0005-0000-0000-0000F2000000}"/>
    <cellStyle name="Comma 3 2 4 3 2" xfId="1058" xr:uid="{00000000-0005-0000-0000-0000F3000000}"/>
    <cellStyle name="Comma 3 2 4 4" xfId="846" xr:uid="{00000000-0005-0000-0000-0000F4000000}"/>
    <cellStyle name="Comma 3 2 5" xfId="442" xr:uid="{00000000-0005-0000-0000-0000F5000000}"/>
    <cellStyle name="Comma 3 2 5 2" xfId="558" xr:uid="{00000000-0005-0000-0000-0000F6000000}"/>
    <cellStyle name="Comma 3 2 5 2 2" xfId="769" xr:uid="{00000000-0005-0000-0000-0000F7000000}"/>
    <cellStyle name="Comma 3 2 5 2 2 2" xfId="1208" xr:uid="{00000000-0005-0000-0000-0000F8000000}"/>
    <cellStyle name="Comma 3 2 5 2 3" xfId="997" xr:uid="{00000000-0005-0000-0000-0000F9000000}"/>
    <cellStyle name="Comma 3 2 5 3" xfId="657" xr:uid="{00000000-0005-0000-0000-0000FA000000}"/>
    <cellStyle name="Comma 3 2 5 3 2" xfId="1096" xr:uid="{00000000-0005-0000-0000-0000FB000000}"/>
    <cellStyle name="Comma 3 2 5 4" xfId="884" xr:uid="{00000000-0005-0000-0000-0000FC000000}"/>
    <cellStyle name="Comma 3 2 6" xfId="452" xr:uid="{00000000-0005-0000-0000-0000FD000000}"/>
    <cellStyle name="Comma 3 2 6 2" xfId="568" xr:uid="{00000000-0005-0000-0000-0000FE000000}"/>
    <cellStyle name="Comma 3 2 6 2 2" xfId="779" xr:uid="{00000000-0005-0000-0000-0000FF000000}"/>
    <cellStyle name="Comma 3 2 6 2 2 2" xfId="1218" xr:uid="{00000000-0005-0000-0000-000000010000}"/>
    <cellStyle name="Comma 3 2 6 2 3" xfId="1007" xr:uid="{00000000-0005-0000-0000-000001010000}"/>
    <cellStyle name="Comma 3 2 6 3" xfId="667" xr:uid="{00000000-0005-0000-0000-000002010000}"/>
    <cellStyle name="Comma 3 2 6 3 2" xfId="1106" xr:uid="{00000000-0005-0000-0000-000003010000}"/>
    <cellStyle name="Comma 3 2 6 4" xfId="894" xr:uid="{00000000-0005-0000-0000-000004010000}"/>
    <cellStyle name="Comma 3 2 7" xfId="480" xr:uid="{00000000-0005-0000-0000-000005010000}"/>
    <cellStyle name="Comma 3 2 7 2" xfId="691" xr:uid="{00000000-0005-0000-0000-000006010000}"/>
    <cellStyle name="Comma 3 2 7 2 2" xfId="1130" xr:uid="{00000000-0005-0000-0000-000007010000}"/>
    <cellStyle name="Comma 3 2 7 3" xfId="919" xr:uid="{00000000-0005-0000-0000-000008010000}"/>
    <cellStyle name="Comma 3 2 8" xfId="579" xr:uid="{00000000-0005-0000-0000-000009010000}"/>
    <cellStyle name="Comma 3 2 8 2" xfId="1018" xr:uid="{00000000-0005-0000-0000-00000A010000}"/>
    <cellStyle name="Comma 3 2 9" xfId="794" xr:uid="{00000000-0005-0000-0000-00000B010000}"/>
    <cellStyle name="Comma 3 3" xfId="15" xr:uid="{00000000-0005-0000-0000-00000C010000}"/>
    <cellStyle name="Comma 3 3 2" xfId="788" xr:uid="{00000000-0005-0000-0000-00000D010000}"/>
    <cellStyle name="Comma 3 3 3" xfId="1230" xr:uid="{00000000-0005-0000-0000-00000E010000}"/>
    <cellStyle name="Comma 3 4" xfId="372" xr:uid="{00000000-0005-0000-0000-00000F010000}"/>
    <cellStyle name="Comma 3 4 2" xfId="413" xr:uid="{00000000-0005-0000-0000-000010010000}"/>
    <cellStyle name="Comma 3 4 2 2" xfId="529" xr:uid="{00000000-0005-0000-0000-000011010000}"/>
    <cellStyle name="Comma 3 4 2 2 2" xfId="740" xr:uid="{00000000-0005-0000-0000-000012010000}"/>
    <cellStyle name="Comma 3 4 2 2 2 2" xfId="1179" xr:uid="{00000000-0005-0000-0000-000013010000}"/>
    <cellStyle name="Comma 3 4 2 2 3" xfId="968" xr:uid="{00000000-0005-0000-0000-000014010000}"/>
    <cellStyle name="Comma 3 4 2 3" xfId="628" xr:uid="{00000000-0005-0000-0000-000015010000}"/>
    <cellStyle name="Comma 3 4 2 3 2" xfId="1067" xr:uid="{00000000-0005-0000-0000-000016010000}"/>
    <cellStyle name="Comma 3 4 2 4" xfId="855" xr:uid="{00000000-0005-0000-0000-000017010000}"/>
    <cellStyle name="Comma 3 4 3" xfId="489" xr:uid="{00000000-0005-0000-0000-000018010000}"/>
    <cellStyle name="Comma 3 4 3 2" xfId="700" xr:uid="{00000000-0005-0000-0000-000019010000}"/>
    <cellStyle name="Comma 3 4 3 2 2" xfId="1139" xr:uid="{00000000-0005-0000-0000-00001A010000}"/>
    <cellStyle name="Comma 3 4 3 3" xfId="928" xr:uid="{00000000-0005-0000-0000-00001B010000}"/>
    <cellStyle name="Comma 3 4 4" xfId="588" xr:uid="{00000000-0005-0000-0000-00001C010000}"/>
    <cellStyle name="Comma 3 4 4 2" xfId="1027" xr:uid="{00000000-0005-0000-0000-00001D010000}"/>
    <cellStyle name="Comma 3 4 5" xfId="814" xr:uid="{00000000-0005-0000-0000-00001E010000}"/>
    <cellStyle name="Comma 3 4 6" xfId="1249" xr:uid="{00000000-0005-0000-0000-00001F010000}"/>
    <cellStyle name="Comma 3 4 7" xfId="1305" xr:uid="{5DD204AA-91DD-47F2-9BF9-B5E0214A5871}"/>
    <cellStyle name="Comma 3 5" xfId="396" xr:uid="{00000000-0005-0000-0000-000020010000}"/>
    <cellStyle name="Comma 3 5 2" xfId="512" xr:uid="{00000000-0005-0000-0000-000021010000}"/>
    <cellStyle name="Comma 3 5 2 2" xfId="723" xr:uid="{00000000-0005-0000-0000-000022010000}"/>
    <cellStyle name="Comma 3 5 2 2 2" xfId="1162" xr:uid="{00000000-0005-0000-0000-000023010000}"/>
    <cellStyle name="Comma 3 5 2 3" xfId="951" xr:uid="{00000000-0005-0000-0000-000024010000}"/>
    <cellStyle name="Comma 3 5 3" xfId="611" xr:uid="{00000000-0005-0000-0000-000025010000}"/>
    <cellStyle name="Comma 3 5 3 2" xfId="1050" xr:uid="{00000000-0005-0000-0000-000026010000}"/>
    <cellStyle name="Comma 3 5 4" xfId="838" xr:uid="{00000000-0005-0000-0000-000027010000}"/>
    <cellStyle name="Comma 3 6" xfId="458" xr:uid="{00000000-0005-0000-0000-000028010000}"/>
    <cellStyle name="Comma 3 6 2" xfId="673" xr:uid="{00000000-0005-0000-0000-000029010000}"/>
    <cellStyle name="Comma 3 6 2 2" xfId="1112" xr:uid="{00000000-0005-0000-0000-00002A010000}"/>
    <cellStyle name="Comma 3 6 3" xfId="900" xr:uid="{00000000-0005-0000-0000-00002B010000}"/>
    <cellStyle name="Comma 3 7" xfId="470" xr:uid="{00000000-0005-0000-0000-00002C010000}"/>
    <cellStyle name="Comma 3 7 2" xfId="683" xr:uid="{00000000-0005-0000-0000-00002D010000}"/>
    <cellStyle name="Comma 3 7 2 2" xfId="1122" xr:uid="{00000000-0005-0000-0000-00002E010000}"/>
    <cellStyle name="Comma 3 7 3" xfId="911" xr:uid="{00000000-0005-0000-0000-00002F010000}"/>
    <cellStyle name="Comma 3 8" xfId="571" xr:uid="{00000000-0005-0000-0000-000030010000}"/>
    <cellStyle name="Comma 3 8 2" xfId="1010" xr:uid="{00000000-0005-0000-0000-000031010000}"/>
    <cellStyle name="Comma 3 9" xfId="784" xr:uid="{00000000-0005-0000-0000-000032010000}"/>
    <cellStyle name="Comma 4" xfId="16" xr:uid="{00000000-0005-0000-0000-000033010000}"/>
    <cellStyle name="Comma 4 10" xfId="789" xr:uid="{00000000-0005-0000-0000-000034010000}"/>
    <cellStyle name="Comma 4 11" xfId="1231" xr:uid="{00000000-0005-0000-0000-000035010000}"/>
    <cellStyle name="Comma 4 12" xfId="1285" xr:uid="{CB0EF5B3-AC09-454B-AE38-EDC659E22F13}"/>
    <cellStyle name="Comma 4 2" xfId="166" xr:uid="{00000000-0005-0000-0000-000036010000}"/>
    <cellStyle name="Comma 4 2 2" xfId="382" xr:uid="{00000000-0005-0000-0000-000037010000}"/>
    <cellStyle name="Comma 4 2 2 2" xfId="423" xr:uid="{00000000-0005-0000-0000-000038010000}"/>
    <cellStyle name="Comma 4 2 2 2 2" xfId="539" xr:uid="{00000000-0005-0000-0000-000039010000}"/>
    <cellStyle name="Comma 4 2 2 2 2 2" xfId="750" xr:uid="{00000000-0005-0000-0000-00003A010000}"/>
    <cellStyle name="Comma 4 2 2 2 2 2 2" xfId="1189" xr:uid="{00000000-0005-0000-0000-00003B010000}"/>
    <cellStyle name="Comma 4 2 2 2 2 3" xfId="978" xr:uid="{00000000-0005-0000-0000-00003C010000}"/>
    <cellStyle name="Comma 4 2 2 2 3" xfId="638" xr:uid="{00000000-0005-0000-0000-00003D010000}"/>
    <cellStyle name="Comma 4 2 2 2 3 2" xfId="1077" xr:uid="{00000000-0005-0000-0000-00003E010000}"/>
    <cellStyle name="Comma 4 2 2 2 4" xfId="865" xr:uid="{00000000-0005-0000-0000-00003F010000}"/>
    <cellStyle name="Comma 4 2 2 3" xfId="499" xr:uid="{00000000-0005-0000-0000-000040010000}"/>
    <cellStyle name="Comma 4 2 2 3 2" xfId="710" xr:uid="{00000000-0005-0000-0000-000041010000}"/>
    <cellStyle name="Comma 4 2 2 3 2 2" xfId="1149" xr:uid="{00000000-0005-0000-0000-000042010000}"/>
    <cellStyle name="Comma 4 2 2 3 3" xfId="938" xr:uid="{00000000-0005-0000-0000-000043010000}"/>
    <cellStyle name="Comma 4 2 2 4" xfId="598" xr:uid="{00000000-0005-0000-0000-000044010000}"/>
    <cellStyle name="Comma 4 2 2 4 2" xfId="1037" xr:uid="{00000000-0005-0000-0000-000045010000}"/>
    <cellStyle name="Comma 4 2 2 5" xfId="824" xr:uid="{00000000-0005-0000-0000-000046010000}"/>
    <cellStyle name="Comma 4 2 2 6" xfId="1259" xr:uid="{00000000-0005-0000-0000-000047010000}"/>
    <cellStyle name="Comma 4 2 2 7" xfId="1315" xr:uid="{C555F584-9A74-4126-A48A-4DD501F93CEB}"/>
    <cellStyle name="Comma 4 2 3" xfId="406" xr:uid="{00000000-0005-0000-0000-000048010000}"/>
    <cellStyle name="Comma 4 2 3 2" xfId="522" xr:uid="{00000000-0005-0000-0000-000049010000}"/>
    <cellStyle name="Comma 4 2 3 2 2" xfId="733" xr:uid="{00000000-0005-0000-0000-00004A010000}"/>
    <cellStyle name="Comma 4 2 3 2 2 2" xfId="1172" xr:uid="{00000000-0005-0000-0000-00004B010000}"/>
    <cellStyle name="Comma 4 2 3 2 3" xfId="961" xr:uid="{00000000-0005-0000-0000-00004C010000}"/>
    <cellStyle name="Comma 4 2 3 3" xfId="621" xr:uid="{00000000-0005-0000-0000-00004D010000}"/>
    <cellStyle name="Comma 4 2 3 3 2" xfId="1060" xr:uid="{00000000-0005-0000-0000-00004E010000}"/>
    <cellStyle name="Comma 4 2 3 4" xfId="848" xr:uid="{00000000-0005-0000-0000-00004F010000}"/>
    <cellStyle name="Comma 4 2 4" xfId="461" xr:uid="{00000000-0005-0000-0000-000050010000}"/>
    <cellStyle name="Comma 4 2 4 2" xfId="676" xr:uid="{00000000-0005-0000-0000-000051010000}"/>
    <cellStyle name="Comma 4 2 4 2 2" xfId="1115" xr:uid="{00000000-0005-0000-0000-000052010000}"/>
    <cellStyle name="Comma 4 2 4 3" xfId="903" xr:uid="{00000000-0005-0000-0000-000053010000}"/>
    <cellStyle name="Comma 4 2 5" xfId="482" xr:uid="{00000000-0005-0000-0000-000054010000}"/>
    <cellStyle name="Comma 4 2 5 2" xfId="693" xr:uid="{00000000-0005-0000-0000-000055010000}"/>
    <cellStyle name="Comma 4 2 5 2 2" xfId="1132" xr:uid="{00000000-0005-0000-0000-000056010000}"/>
    <cellStyle name="Comma 4 2 5 3" xfId="921" xr:uid="{00000000-0005-0000-0000-000057010000}"/>
    <cellStyle name="Comma 4 2 6" xfId="581" xr:uid="{00000000-0005-0000-0000-000058010000}"/>
    <cellStyle name="Comma 4 2 6 2" xfId="1020" xr:uid="{00000000-0005-0000-0000-000059010000}"/>
    <cellStyle name="Comma 4 2 7" xfId="800" xr:uid="{00000000-0005-0000-0000-00005A010000}"/>
    <cellStyle name="Comma 4 2 8" xfId="1238" xr:uid="{00000000-0005-0000-0000-00005B010000}"/>
    <cellStyle name="Comma 4 2 9" xfId="1295" xr:uid="{3FDE636A-6EDC-4A98-96CB-465EC4A5B588}"/>
    <cellStyle name="Comma 4 3" xfId="376" xr:uid="{00000000-0005-0000-0000-00005C010000}"/>
    <cellStyle name="Comma 4 3 2" xfId="417" xr:uid="{00000000-0005-0000-0000-00005D010000}"/>
    <cellStyle name="Comma 4 3 2 2" xfId="533" xr:uid="{00000000-0005-0000-0000-00005E010000}"/>
    <cellStyle name="Comma 4 3 2 2 2" xfId="744" xr:uid="{00000000-0005-0000-0000-00005F010000}"/>
    <cellStyle name="Comma 4 3 2 2 2 2" xfId="1183" xr:uid="{00000000-0005-0000-0000-000060010000}"/>
    <cellStyle name="Comma 4 3 2 2 3" xfId="972" xr:uid="{00000000-0005-0000-0000-000061010000}"/>
    <cellStyle name="Comma 4 3 2 3" xfId="632" xr:uid="{00000000-0005-0000-0000-000062010000}"/>
    <cellStyle name="Comma 4 3 2 3 2" xfId="1071" xr:uid="{00000000-0005-0000-0000-000063010000}"/>
    <cellStyle name="Comma 4 3 2 4" xfId="859" xr:uid="{00000000-0005-0000-0000-000064010000}"/>
    <cellStyle name="Comma 4 3 3" xfId="493" xr:uid="{00000000-0005-0000-0000-000065010000}"/>
    <cellStyle name="Comma 4 3 3 2" xfId="704" xr:uid="{00000000-0005-0000-0000-000066010000}"/>
    <cellStyle name="Comma 4 3 3 2 2" xfId="1143" xr:uid="{00000000-0005-0000-0000-000067010000}"/>
    <cellStyle name="Comma 4 3 3 3" xfId="932" xr:uid="{00000000-0005-0000-0000-000068010000}"/>
    <cellStyle name="Comma 4 3 4" xfId="592" xr:uid="{00000000-0005-0000-0000-000069010000}"/>
    <cellStyle name="Comma 4 3 4 2" xfId="1031" xr:uid="{00000000-0005-0000-0000-00006A010000}"/>
    <cellStyle name="Comma 4 3 5" xfId="818" xr:uid="{00000000-0005-0000-0000-00006B010000}"/>
    <cellStyle name="Comma 4 3 6" xfId="1253" xr:uid="{00000000-0005-0000-0000-00006C010000}"/>
    <cellStyle name="Comma 4 3 7" xfId="1309" xr:uid="{89068A37-9970-40CB-97A3-279993F616DC}"/>
    <cellStyle name="Comma 4 4" xfId="400" xr:uid="{00000000-0005-0000-0000-00006D010000}"/>
    <cellStyle name="Comma 4 4 2" xfId="516" xr:uid="{00000000-0005-0000-0000-00006E010000}"/>
    <cellStyle name="Comma 4 4 2 2" xfId="727" xr:uid="{00000000-0005-0000-0000-00006F010000}"/>
    <cellStyle name="Comma 4 4 2 2 2" xfId="1166" xr:uid="{00000000-0005-0000-0000-000070010000}"/>
    <cellStyle name="Comma 4 4 2 3" xfId="955" xr:uid="{00000000-0005-0000-0000-000071010000}"/>
    <cellStyle name="Comma 4 4 3" xfId="615" xr:uid="{00000000-0005-0000-0000-000072010000}"/>
    <cellStyle name="Comma 4 4 3 2" xfId="1054" xr:uid="{00000000-0005-0000-0000-000073010000}"/>
    <cellStyle name="Comma 4 4 4" xfId="842" xr:uid="{00000000-0005-0000-0000-000074010000}"/>
    <cellStyle name="Comma 4 5" xfId="438" xr:uid="{00000000-0005-0000-0000-000075010000}"/>
    <cellStyle name="Comma 4 5 2" xfId="554" xr:uid="{00000000-0005-0000-0000-000076010000}"/>
    <cellStyle name="Comma 4 5 2 2" xfId="765" xr:uid="{00000000-0005-0000-0000-000077010000}"/>
    <cellStyle name="Comma 4 5 2 2 2" xfId="1204" xr:uid="{00000000-0005-0000-0000-000078010000}"/>
    <cellStyle name="Comma 4 5 2 3" xfId="993" xr:uid="{00000000-0005-0000-0000-000079010000}"/>
    <cellStyle name="Comma 4 5 3" xfId="653" xr:uid="{00000000-0005-0000-0000-00007A010000}"/>
    <cellStyle name="Comma 4 5 3 2" xfId="1092" xr:uid="{00000000-0005-0000-0000-00007B010000}"/>
    <cellStyle name="Comma 4 5 4" xfId="880" xr:uid="{00000000-0005-0000-0000-00007C010000}"/>
    <cellStyle name="Comma 4 6" xfId="448" xr:uid="{00000000-0005-0000-0000-00007D010000}"/>
    <cellStyle name="Comma 4 6 2" xfId="564" xr:uid="{00000000-0005-0000-0000-00007E010000}"/>
    <cellStyle name="Comma 4 6 2 2" xfId="775" xr:uid="{00000000-0005-0000-0000-00007F010000}"/>
    <cellStyle name="Comma 4 6 2 2 2" xfId="1214" xr:uid="{00000000-0005-0000-0000-000080010000}"/>
    <cellStyle name="Comma 4 6 2 3" xfId="1003" xr:uid="{00000000-0005-0000-0000-000081010000}"/>
    <cellStyle name="Comma 4 6 3" xfId="663" xr:uid="{00000000-0005-0000-0000-000082010000}"/>
    <cellStyle name="Comma 4 6 3 2" xfId="1102" xr:uid="{00000000-0005-0000-0000-000083010000}"/>
    <cellStyle name="Comma 4 6 4" xfId="890" xr:uid="{00000000-0005-0000-0000-000084010000}"/>
    <cellStyle name="Comma 4 7" xfId="460" xr:uid="{00000000-0005-0000-0000-000085010000}"/>
    <cellStyle name="Comma 4 7 2" xfId="675" xr:uid="{00000000-0005-0000-0000-000086010000}"/>
    <cellStyle name="Comma 4 7 2 2" xfId="1114" xr:uid="{00000000-0005-0000-0000-000087010000}"/>
    <cellStyle name="Comma 4 7 3" xfId="902" xr:uid="{00000000-0005-0000-0000-000088010000}"/>
    <cellStyle name="Comma 4 8" xfId="475" xr:uid="{00000000-0005-0000-0000-000089010000}"/>
    <cellStyle name="Comma 4 8 2" xfId="687" xr:uid="{00000000-0005-0000-0000-00008A010000}"/>
    <cellStyle name="Comma 4 8 2 2" xfId="1126" xr:uid="{00000000-0005-0000-0000-00008B010000}"/>
    <cellStyle name="Comma 4 8 3" xfId="915" xr:uid="{00000000-0005-0000-0000-00008C010000}"/>
    <cellStyle name="Comma 4 9" xfId="575" xr:uid="{00000000-0005-0000-0000-00008D010000}"/>
    <cellStyle name="Comma 4 9 2" xfId="1014" xr:uid="{00000000-0005-0000-0000-00008E010000}"/>
    <cellStyle name="Comma 5" xfId="13" xr:uid="{00000000-0005-0000-0000-00008F010000}"/>
    <cellStyle name="Comma 5 10" xfId="1229" xr:uid="{00000000-0005-0000-0000-000090010000}"/>
    <cellStyle name="Comma 5 11" xfId="1284" xr:uid="{7145D366-60F5-4A03-BC52-13882F209A13}"/>
    <cellStyle name="Comma 5 2" xfId="167" xr:uid="{00000000-0005-0000-0000-000091010000}"/>
    <cellStyle name="Comma 5 2 2" xfId="801" xr:uid="{00000000-0005-0000-0000-000092010000}"/>
    <cellStyle name="Comma 5 2 3" xfId="1296" xr:uid="{7B8BE537-E4FF-4B54-BBD6-9463BE6450BB}"/>
    <cellStyle name="Comma 5 3" xfId="375" xr:uid="{00000000-0005-0000-0000-000093010000}"/>
    <cellStyle name="Comma 5 3 2" xfId="416" xr:uid="{00000000-0005-0000-0000-000094010000}"/>
    <cellStyle name="Comma 5 3 2 2" xfId="532" xr:uid="{00000000-0005-0000-0000-000095010000}"/>
    <cellStyle name="Comma 5 3 2 2 2" xfId="743" xr:uid="{00000000-0005-0000-0000-000096010000}"/>
    <cellStyle name="Comma 5 3 2 2 2 2" xfId="1182" xr:uid="{00000000-0005-0000-0000-000097010000}"/>
    <cellStyle name="Comma 5 3 2 2 3" xfId="971" xr:uid="{00000000-0005-0000-0000-000098010000}"/>
    <cellStyle name="Comma 5 3 2 3" xfId="631" xr:uid="{00000000-0005-0000-0000-000099010000}"/>
    <cellStyle name="Comma 5 3 2 3 2" xfId="1070" xr:uid="{00000000-0005-0000-0000-00009A010000}"/>
    <cellStyle name="Comma 5 3 2 4" xfId="858" xr:uid="{00000000-0005-0000-0000-00009B010000}"/>
    <cellStyle name="Comma 5 3 3" xfId="492" xr:uid="{00000000-0005-0000-0000-00009C010000}"/>
    <cellStyle name="Comma 5 3 3 2" xfId="703" xr:uid="{00000000-0005-0000-0000-00009D010000}"/>
    <cellStyle name="Comma 5 3 3 2 2" xfId="1142" xr:uid="{00000000-0005-0000-0000-00009E010000}"/>
    <cellStyle name="Comma 5 3 3 3" xfId="931" xr:uid="{00000000-0005-0000-0000-00009F010000}"/>
    <cellStyle name="Comma 5 3 4" xfId="591" xr:uid="{00000000-0005-0000-0000-0000A0010000}"/>
    <cellStyle name="Comma 5 3 4 2" xfId="1030" xr:uid="{00000000-0005-0000-0000-0000A1010000}"/>
    <cellStyle name="Comma 5 3 5" xfId="817" xr:uid="{00000000-0005-0000-0000-0000A2010000}"/>
    <cellStyle name="Comma 5 3 6" xfId="1252" xr:uid="{00000000-0005-0000-0000-0000A3010000}"/>
    <cellStyle name="Comma 5 3 7" xfId="1308" xr:uid="{4A53CB48-313A-4274-9129-A3CA416FDF35}"/>
    <cellStyle name="Comma 5 4" xfId="399" xr:uid="{00000000-0005-0000-0000-0000A4010000}"/>
    <cellStyle name="Comma 5 4 2" xfId="515" xr:uid="{00000000-0005-0000-0000-0000A5010000}"/>
    <cellStyle name="Comma 5 4 2 2" xfId="726" xr:uid="{00000000-0005-0000-0000-0000A6010000}"/>
    <cellStyle name="Comma 5 4 2 2 2" xfId="1165" xr:uid="{00000000-0005-0000-0000-0000A7010000}"/>
    <cellStyle name="Comma 5 4 2 3" xfId="954" xr:uid="{00000000-0005-0000-0000-0000A8010000}"/>
    <cellStyle name="Comma 5 4 3" xfId="614" xr:uid="{00000000-0005-0000-0000-0000A9010000}"/>
    <cellStyle name="Comma 5 4 3 2" xfId="1053" xr:uid="{00000000-0005-0000-0000-0000AA010000}"/>
    <cellStyle name="Comma 5 4 4" xfId="841" xr:uid="{00000000-0005-0000-0000-0000AB010000}"/>
    <cellStyle name="Comma 5 5" xfId="437" xr:uid="{00000000-0005-0000-0000-0000AC010000}"/>
    <cellStyle name="Comma 5 5 2" xfId="553" xr:uid="{00000000-0005-0000-0000-0000AD010000}"/>
    <cellStyle name="Comma 5 5 2 2" xfId="764" xr:uid="{00000000-0005-0000-0000-0000AE010000}"/>
    <cellStyle name="Comma 5 5 2 2 2" xfId="1203" xr:uid="{00000000-0005-0000-0000-0000AF010000}"/>
    <cellStyle name="Comma 5 5 2 3" xfId="992" xr:uid="{00000000-0005-0000-0000-0000B0010000}"/>
    <cellStyle name="Comma 5 5 3" xfId="652" xr:uid="{00000000-0005-0000-0000-0000B1010000}"/>
    <cellStyle name="Comma 5 5 3 2" xfId="1091" xr:uid="{00000000-0005-0000-0000-0000B2010000}"/>
    <cellStyle name="Comma 5 5 4" xfId="879" xr:uid="{00000000-0005-0000-0000-0000B3010000}"/>
    <cellStyle name="Comma 5 6" xfId="447" xr:uid="{00000000-0005-0000-0000-0000B4010000}"/>
    <cellStyle name="Comma 5 6 2" xfId="563" xr:uid="{00000000-0005-0000-0000-0000B5010000}"/>
    <cellStyle name="Comma 5 6 2 2" xfId="774" xr:uid="{00000000-0005-0000-0000-0000B6010000}"/>
    <cellStyle name="Comma 5 6 2 2 2" xfId="1213" xr:uid="{00000000-0005-0000-0000-0000B7010000}"/>
    <cellStyle name="Comma 5 6 2 3" xfId="1002" xr:uid="{00000000-0005-0000-0000-0000B8010000}"/>
    <cellStyle name="Comma 5 6 3" xfId="662" xr:uid="{00000000-0005-0000-0000-0000B9010000}"/>
    <cellStyle name="Comma 5 6 3 2" xfId="1101" xr:uid="{00000000-0005-0000-0000-0000BA010000}"/>
    <cellStyle name="Comma 5 6 4" xfId="889" xr:uid="{00000000-0005-0000-0000-0000BB010000}"/>
    <cellStyle name="Comma 5 7" xfId="474" xr:uid="{00000000-0005-0000-0000-0000BC010000}"/>
    <cellStyle name="Comma 5 7 2" xfId="686" xr:uid="{00000000-0005-0000-0000-0000BD010000}"/>
    <cellStyle name="Comma 5 7 2 2" xfId="1125" xr:uid="{00000000-0005-0000-0000-0000BE010000}"/>
    <cellStyle name="Comma 5 7 3" xfId="914" xr:uid="{00000000-0005-0000-0000-0000BF010000}"/>
    <cellStyle name="Comma 5 8" xfId="574" xr:uid="{00000000-0005-0000-0000-0000C0010000}"/>
    <cellStyle name="Comma 5 8 2" xfId="1013" xr:uid="{00000000-0005-0000-0000-0000C1010000}"/>
    <cellStyle name="Comma 5 9" xfId="787" xr:uid="{00000000-0005-0000-0000-0000C2010000}"/>
    <cellStyle name="Comma 6" xfId="168" xr:uid="{00000000-0005-0000-0000-0000C3010000}"/>
    <cellStyle name="Comma 6 2" xfId="802" xr:uid="{00000000-0005-0000-0000-0000C4010000}"/>
    <cellStyle name="Comma 6 3" xfId="1239" xr:uid="{00000000-0005-0000-0000-0000C5010000}"/>
    <cellStyle name="Comma 7" xfId="169" xr:uid="{00000000-0005-0000-0000-0000C6010000}"/>
    <cellStyle name="Comma 7 2" xfId="803" xr:uid="{00000000-0005-0000-0000-0000C7010000}"/>
    <cellStyle name="Comma 7 3" xfId="1297" xr:uid="{E439D68C-3F49-4152-AB95-2AC408F44C9B}"/>
    <cellStyle name="Comma 8" xfId="170" xr:uid="{00000000-0005-0000-0000-0000C8010000}"/>
    <cellStyle name="Comma 8 2" xfId="804" xr:uid="{00000000-0005-0000-0000-0000C9010000}"/>
    <cellStyle name="Comma 8 3" xfId="1240" xr:uid="{00000000-0005-0000-0000-0000CA010000}"/>
    <cellStyle name="Comma 9" xfId="171" xr:uid="{00000000-0005-0000-0000-0000CB010000}"/>
    <cellStyle name="Comma 9 2" xfId="805" xr:uid="{00000000-0005-0000-0000-0000CC010000}"/>
    <cellStyle name="Comma 9 3" xfId="1298" xr:uid="{17F3DA8F-31BF-42B3-96B3-697A33ACED0C}"/>
    <cellStyle name="Custom - Style8" xfId="172" xr:uid="{00000000-0005-0000-0000-0000CD010000}"/>
    <cellStyle name="Explanatory Text 2" xfId="173" xr:uid="{00000000-0005-0000-0000-0000CE010000}"/>
    <cellStyle name="Explanatory Text 3" xfId="174" xr:uid="{00000000-0005-0000-0000-0000CF010000}"/>
    <cellStyle name="Explanatory Text 4" xfId="175" xr:uid="{00000000-0005-0000-0000-0000D0010000}"/>
    <cellStyle name="Explanatory Text 5" xfId="176" xr:uid="{00000000-0005-0000-0000-0000D1010000}"/>
    <cellStyle name="Explanatory Text 6" xfId="177" xr:uid="{00000000-0005-0000-0000-0000D2010000}"/>
    <cellStyle name="Good 2" xfId="178" xr:uid="{00000000-0005-0000-0000-0000D3010000}"/>
    <cellStyle name="Good 3" xfId="179" xr:uid="{00000000-0005-0000-0000-0000D4010000}"/>
    <cellStyle name="Good 4" xfId="180" xr:uid="{00000000-0005-0000-0000-0000D5010000}"/>
    <cellStyle name="Good 5" xfId="181" xr:uid="{00000000-0005-0000-0000-0000D6010000}"/>
    <cellStyle name="Good 6" xfId="182" xr:uid="{00000000-0005-0000-0000-0000D7010000}"/>
    <cellStyle name="Heading 1 2" xfId="183" xr:uid="{00000000-0005-0000-0000-0000D8010000}"/>
    <cellStyle name="Heading 1 3" xfId="184" xr:uid="{00000000-0005-0000-0000-0000D9010000}"/>
    <cellStyle name="Heading 1 4" xfId="185" xr:uid="{00000000-0005-0000-0000-0000DA010000}"/>
    <cellStyle name="Heading 1 5" xfId="186" xr:uid="{00000000-0005-0000-0000-0000DB010000}"/>
    <cellStyle name="Heading 1 6" xfId="187" xr:uid="{00000000-0005-0000-0000-0000DC010000}"/>
    <cellStyle name="Heading 2 2" xfId="188" xr:uid="{00000000-0005-0000-0000-0000DD010000}"/>
    <cellStyle name="Heading 2 3" xfId="189" xr:uid="{00000000-0005-0000-0000-0000DE010000}"/>
    <cellStyle name="Heading 2 4" xfId="190" xr:uid="{00000000-0005-0000-0000-0000DF010000}"/>
    <cellStyle name="Heading 2 5" xfId="191" xr:uid="{00000000-0005-0000-0000-0000E0010000}"/>
    <cellStyle name="Heading 2 6" xfId="192" xr:uid="{00000000-0005-0000-0000-0000E1010000}"/>
    <cellStyle name="Heading 3 2" xfId="193" xr:uid="{00000000-0005-0000-0000-0000E2010000}"/>
    <cellStyle name="Heading 3 3" xfId="194" xr:uid="{00000000-0005-0000-0000-0000E3010000}"/>
    <cellStyle name="Heading 3 4" xfId="195" xr:uid="{00000000-0005-0000-0000-0000E4010000}"/>
    <cellStyle name="Heading 3 5" xfId="196" xr:uid="{00000000-0005-0000-0000-0000E5010000}"/>
    <cellStyle name="Heading 3 6" xfId="197" xr:uid="{00000000-0005-0000-0000-0000E6010000}"/>
    <cellStyle name="Heading 4 2" xfId="198" xr:uid="{00000000-0005-0000-0000-0000E7010000}"/>
    <cellStyle name="Heading 4 3" xfId="199" xr:uid="{00000000-0005-0000-0000-0000E8010000}"/>
    <cellStyle name="Heading 4 4" xfId="200" xr:uid="{00000000-0005-0000-0000-0000E9010000}"/>
    <cellStyle name="Heading 4 5" xfId="201" xr:uid="{00000000-0005-0000-0000-0000EA010000}"/>
    <cellStyle name="Heading 4 6" xfId="202" xr:uid="{00000000-0005-0000-0000-0000EB010000}"/>
    <cellStyle name="Hyperlink" xfId="2" builtinId="8"/>
    <cellStyle name="Input 2" xfId="203" xr:uid="{00000000-0005-0000-0000-0000ED010000}"/>
    <cellStyle name="Input 3" xfId="204" xr:uid="{00000000-0005-0000-0000-0000EE010000}"/>
    <cellStyle name="Input 4" xfId="205" xr:uid="{00000000-0005-0000-0000-0000EF010000}"/>
    <cellStyle name="Input 5" xfId="206" xr:uid="{00000000-0005-0000-0000-0000F0010000}"/>
    <cellStyle name="Input 6" xfId="207" xr:uid="{00000000-0005-0000-0000-0000F1010000}"/>
    <cellStyle name="Linked Cell 2" xfId="208" xr:uid="{00000000-0005-0000-0000-0000F2010000}"/>
    <cellStyle name="Linked Cell 3" xfId="209" xr:uid="{00000000-0005-0000-0000-0000F3010000}"/>
    <cellStyle name="Linked Cell 4" xfId="210" xr:uid="{00000000-0005-0000-0000-0000F4010000}"/>
    <cellStyle name="Linked Cell 5" xfId="211" xr:uid="{00000000-0005-0000-0000-0000F5010000}"/>
    <cellStyle name="Linked Cell 6" xfId="212" xr:uid="{00000000-0005-0000-0000-0000F6010000}"/>
    <cellStyle name="Milliers [0]_3A_NumeratorReport_Option1_040611" xfId="213" xr:uid="{00000000-0005-0000-0000-0000F7010000}"/>
    <cellStyle name="Milliers_3A_NumeratorReport_Option1_040611" xfId="214" xr:uid="{00000000-0005-0000-0000-0000F8010000}"/>
    <cellStyle name="Monétaire [0]_3A_NumeratorReport_Option1_040611" xfId="215" xr:uid="{00000000-0005-0000-0000-0000F9010000}"/>
    <cellStyle name="Monétaire_3A_NumeratorReport_Option1_040611" xfId="216" xr:uid="{00000000-0005-0000-0000-0000FA010000}"/>
    <cellStyle name="Neutral 2" xfId="217" xr:uid="{00000000-0005-0000-0000-0000FB010000}"/>
    <cellStyle name="Neutral 3" xfId="218" xr:uid="{00000000-0005-0000-0000-0000FC010000}"/>
    <cellStyle name="Neutral 4" xfId="219" xr:uid="{00000000-0005-0000-0000-0000FD010000}"/>
    <cellStyle name="Neutral 5" xfId="220" xr:uid="{00000000-0005-0000-0000-0000FE010000}"/>
    <cellStyle name="Neutral 6" xfId="221" xr:uid="{00000000-0005-0000-0000-0000FF010000}"/>
    <cellStyle name="Normal" xfId="0" builtinId="0"/>
    <cellStyle name="Normal 10" xfId="222" xr:uid="{00000000-0005-0000-0000-000001020000}"/>
    <cellStyle name="Normal 11" xfId="223" xr:uid="{00000000-0005-0000-0000-000002020000}"/>
    <cellStyle name="Normal 12" xfId="224" xr:uid="{00000000-0005-0000-0000-000003020000}"/>
    <cellStyle name="Normal 13" xfId="225" xr:uid="{00000000-0005-0000-0000-000004020000}"/>
    <cellStyle name="Normal 14" xfId="226" xr:uid="{00000000-0005-0000-0000-000005020000}"/>
    <cellStyle name="Normal 15" xfId="227" xr:uid="{00000000-0005-0000-0000-000006020000}"/>
    <cellStyle name="Normal 16" xfId="228" xr:uid="{00000000-0005-0000-0000-000007020000}"/>
    <cellStyle name="Normal 17" xfId="229" xr:uid="{00000000-0005-0000-0000-000008020000}"/>
    <cellStyle name="Normal 18" xfId="230" xr:uid="{00000000-0005-0000-0000-000009020000}"/>
    <cellStyle name="Normal 19" xfId="21" xr:uid="{00000000-0005-0000-0000-00000A020000}"/>
    <cellStyle name="Normal 19 10" xfId="792" xr:uid="{00000000-0005-0000-0000-00000B020000}"/>
    <cellStyle name="Normal 19 11" xfId="1233" xr:uid="{00000000-0005-0000-0000-00000C020000}"/>
    <cellStyle name="Normal 19 12" xfId="1288" xr:uid="{C8A33855-9C66-47B2-BB70-695B960C101E}"/>
    <cellStyle name="Normal 19 2" xfId="231" xr:uid="{00000000-0005-0000-0000-00000D020000}"/>
    <cellStyle name="Normal 19 2 2" xfId="383" xr:uid="{00000000-0005-0000-0000-00000E020000}"/>
    <cellStyle name="Normal 19 2 2 2" xfId="424" xr:uid="{00000000-0005-0000-0000-00000F020000}"/>
    <cellStyle name="Normal 19 2 2 2 2" xfId="540" xr:uid="{00000000-0005-0000-0000-000010020000}"/>
    <cellStyle name="Normal 19 2 2 2 2 2" xfId="751" xr:uid="{00000000-0005-0000-0000-000011020000}"/>
    <cellStyle name="Normal 19 2 2 2 2 2 2" xfId="1190" xr:uid="{00000000-0005-0000-0000-000012020000}"/>
    <cellStyle name="Normal 19 2 2 2 2 3" xfId="979" xr:uid="{00000000-0005-0000-0000-000013020000}"/>
    <cellStyle name="Normal 19 2 2 2 3" xfId="639" xr:uid="{00000000-0005-0000-0000-000014020000}"/>
    <cellStyle name="Normal 19 2 2 2 3 2" xfId="1078" xr:uid="{00000000-0005-0000-0000-000015020000}"/>
    <cellStyle name="Normal 19 2 2 2 4" xfId="866" xr:uid="{00000000-0005-0000-0000-000016020000}"/>
    <cellStyle name="Normal 19 2 2 3" xfId="500" xr:uid="{00000000-0005-0000-0000-000017020000}"/>
    <cellStyle name="Normal 19 2 2 3 2" xfId="711" xr:uid="{00000000-0005-0000-0000-000018020000}"/>
    <cellStyle name="Normal 19 2 2 3 2 2" xfId="1150" xr:uid="{00000000-0005-0000-0000-000019020000}"/>
    <cellStyle name="Normal 19 2 2 3 3" xfId="939" xr:uid="{00000000-0005-0000-0000-00001A020000}"/>
    <cellStyle name="Normal 19 2 2 4" xfId="599" xr:uid="{00000000-0005-0000-0000-00001B020000}"/>
    <cellStyle name="Normal 19 2 2 4 2" xfId="1038" xr:uid="{00000000-0005-0000-0000-00001C020000}"/>
    <cellStyle name="Normal 19 2 2 5" xfId="825" xr:uid="{00000000-0005-0000-0000-00001D020000}"/>
    <cellStyle name="Normal 19 2 2 6" xfId="1260" xr:uid="{00000000-0005-0000-0000-00001E020000}"/>
    <cellStyle name="Normal 19 2 2 7" xfId="1316" xr:uid="{EE94E4AA-37C9-4DED-9871-B50337112997}"/>
    <cellStyle name="Normal 19 2 3" xfId="407" xr:uid="{00000000-0005-0000-0000-00001F020000}"/>
    <cellStyle name="Normal 19 2 3 2" xfId="523" xr:uid="{00000000-0005-0000-0000-000020020000}"/>
    <cellStyle name="Normal 19 2 3 2 2" xfId="734" xr:uid="{00000000-0005-0000-0000-000021020000}"/>
    <cellStyle name="Normal 19 2 3 2 2 2" xfId="1173" xr:uid="{00000000-0005-0000-0000-000022020000}"/>
    <cellStyle name="Normal 19 2 3 2 3" xfId="962" xr:uid="{00000000-0005-0000-0000-000023020000}"/>
    <cellStyle name="Normal 19 2 3 3" xfId="622" xr:uid="{00000000-0005-0000-0000-000024020000}"/>
    <cellStyle name="Normal 19 2 3 3 2" xfId="1061" xr:uid="{00000000-0005-0000-0000-000025020000}"/>
    <cellStyle name="Normal 19 2 3 4" xfId="849" xr:uid="{00000000-0005-0000-0000-000026020000}"/>
    <cellStyle name="Normal 19 2 4" xfId="462" xr:uid="{00000000-0005-0000-0000-000027020000}"/>
    <cellStyle name="Normal 19 2 4 2" xfId="677" xr:uid="{00000000-0005-0000-0000-000028020000}"/>
    <cellStyle name="Normal 19 2 4 2 2" xfId="1116" xr:uid="{00000000-0005-0000-0000-000029020000}"/>
    <cellStyle name="Normal 19 2 4 3" xfId="904" xr:uid="{00000000-0005-0000-0000-00002A020000}"/>
    <cellStyle name="Normal 19 2 5" xfId="483" xr:uid="{00000000-0005-0000-0000-00002B020000}"/>
    <cellStyle name="Normal 19 2 5 2" xfId="694" xr:uid="{00000000-0005-0000-0000-00002C020000}"/>
    <cellStyle name="Normal 19 2 5 2 2" xfId="1133" xr:uid="{00000000-0005-0000-0000-00002D020000}"/>
    <cellStyle name="Normal 19 2 5 3" xfId="922" xr:uid="{00000000-0005-0000-0000-00002E020000}"/>
    <cellStyle name="Normal 19 2 6" xfId="582" xr:uid="{00000000-0005-0000-0000-00002F020000}"/>
    <cellStyle name="Normal 19 2 6 2" xfId="1021" xr:uid="{00000000-0005-0000-0000-000030020000}"/>
    <cellStyle name="Normal 19 2 7" xfId="806" xr:uid="{00000000-0005-0000-0000-000031020000}"/>
    <cellStyle name="Normal 19 2 8" xfId="1241" xr:uid="{00000000-0005-0000-0000-000032020000}"/>
    <cellStyle name="Normal 19 2 9" xfId="1299" xr:uid="{7E4FAE6D-26F3-4285-B97A-46650C7FCF60}"/>
    <cellStyle name="Normal 19 3" xfId="378" xr:uid="{00000000-0005-0000-0000-000033020000}"/>
    <cellStyle name="Normal 19 3 2" xfId="419" xr:uid="{00000000-0005-0000-0000-000034020000}"/>
    <cellStyle name="Normal 19 3 2 2" xfId="535" xr:uid="{00000000-0005-0000-0000-000035020000}"/>
    <cellStyle name="Normal 19 3 2 2 2" xfId="746" xr:uid="{00000000-0005-0000-0000-000036020000}"/>
    <cellStyle name="Normal 19 3 2 2 2 2" xfId="1185" xr:uid="{00000000-0005-0000-0000-000037020000}"/>
    <cellStyle name="Normal 19 3 2 2 3" xfId="974" xr:uid="{00000000-0005-0000-0000-000038020000}"/>
    <cellStyle name="Normal 19 3 2 3" xfId="634" xr:uid="{00000000-0005-0000-0000-000039020000}"/>
    <cellStyle name="Normal 19 3 2 3 2" xfId="1073" xr:uid="{00000000-0005-0000-0000-00003A020000}"/>
    <cellStyle name="Normal 19 3 2 4" xfId="861" xr:uid="{00000000-0005-0000-0000-00003B020000}"/>
    <cellStyle name="Normal 19 3 3" xfId="495" xr:uid="{00000000-0005-0000-0000-00003C020000}"/>
    <cellStyle name="Normal 19 3 3 2" xfId="706" xr:uid="{00000000-0005-0000-0000-00003D020000}"/>
    <cellStyle name="Normal 19 3 3 2 2" xfId="1145" xr:uid="{00000000-0005-0000-0000-00003E020000}"/>
    <cellStyle name="Normal 19 3 3 3" xfId="934" xr:uid="{00000000-0005-0000-0000-00003F020000}"/>
    <cellStyle name="Normal 19 3 4" xfId="594" xr:uid="{00000000-0005-0000-0000-000040020000}"/>
    <cellStyle name="Normal 19 3 4 2" xfId="1033" xr:uid="{00000000-0005-0000-0000-000041020000}"/>
    <cellStyle name="Normal 19 3 5" xfId="820" xr:uid="{00000000-0005-0000-0000-000042020000}"/>
    <cellStyle name="Normal 19 3 6" xfId="1255" xr:uid="{00000000-0005-0000-0000-000043020000}"/>
    <cellStyle name="Normal 19 3 7" xfId="1311" xr:uid="{F328DB4E-1A5F-482F-82FD-0BD8C327539D}"/>
    <cellStyle name="Normal 19 4" xfId="402" xr:uid="{00000000-0005-0000-0000-000044020000}"/>
    <cellStyle name="Normal 19 4 2" xfId="518" xr:uid="{00000000-0005-0000-0000-000045020000}"/>
    <cellStyle name="Normal 19 4 2 2" xfId="729" xr:uid="{00000000-0005-0000-0000-000046020000}"/>
    <cellStyle name="Normal 19 4 2 2 2" xfId="1168" xr:uid="{00000000-0005-0000-0000-000047020000}"/>
    <cellStyle name="Normal 19 4 2 3" xfId="957" xr:uid="{00000000-0005-0000-0000-000048020000}"/>
    <cellStyle name="Normal 19 4 3" xfId="617" xr:uid="{00000000-0005-0000-0000-000049020000}"/>
    <cellStyle name="Normal 19 4 3 2" xfId="1056" xr:uid="{00000000-0005-0000-0000-00004A020000}"/>
    <cellStyle name="Normal 19 4 4" xfId="844" xr:uid="{00000000-0005-0000-0000-00004B020000}"/>
    <cellStyle name="Normal 19 5" xfId="440" xr:uid="{00000000-0005-0000-0000-00004C020000}"/>
    <cellStyle name="Normal 19 5 2" xfId="556" xr:uid="{00000000-0005-0000-0000-00004D020000}"/>
    <cellStyle name="Normal 19 5 2 2" xfId="767" xr:uid="{00000000-0005-0000-0000-00004E020000}"/>
    <cellStyle name="Normal 19 5 2 2 2" xfId="1206" xr:uid="{00000000-0005-0000-0000-00004F020000}"/>
    <cellStyle name="Normal 19 5 2 3" xfId="995" xr:uid="{00000000-0005-0000-0000-000050020000}"/>
    <cellStyle name="Normal 19 5 3" xfId="655" xr:uid="{00000000-0005-0000-0000-000051020000}"/>
    <cellStyle name="Normal 19 5 3 2" xfId="1094" xr:uid="{00000000-0005-0000-0000-000052020000}"/>
    <cellStyle name="Normal 19 5 4" xfId="882" xr:uid="{00000000-0005-0000-0000-000053020000}"/>
    <cellStyle name="Normal 19 6" xfId="450" xr:uid="{00000000-0005-0000-0000-000054020000}"/>
    <cellStyle name="Normal 19 6 2" xfId="566" xr:uid="{00000000-0005-0000-0000-000055020000}"/>
    <cellStyle name="Normal 19 6 2 2" xfId="777" xr:uid="{00000000-0005-0000-0000-000056020000}"/>
    <cellStyle name="Normal 19 6 2 2 2" xfId="1216" xr:uid="{00000000-0005-0000-0000-000057020000}"/>
    <cellStyle name="Normal 19 6 2 3" xfId="1005" xr:uid="{00000000-0005-0000-0000-000058020000}"/>
    <cellStyle name="Normal 19 6 3" xfId="665" xr:uid="{00000000-0005-0000-0000-000059020000}"/>
    <cellStyle name="Normal 19 6 3 2" xfId="1104" xr:uid="{00000000-0005-0000-0000-00005A020000}"/>
    <cellStyle name="Normal 19 6 4" xfId="892" xr:uid="{00000000-0005-0000-0000-00005B020000}"/>
    <cellStyle name="Normal 19 7" xfId="456" xr:uid="{00000000-0005-0000-0000-00005C020000}"/>
    <cellStyle name="Normal 19 7 2" xfId="671" xr:uid="{00000000-0005-0000-0000-00005D020000}"/>
    <cellStyle name="Normal 19 7 2 2" xfId="1110" xr:uid="{00000000-0005-0000-0000-00005E020000}"/>
    <cellStyle name="Normal 19 7 3" xfId="898" xr:uid="{00000000-0005-0000-0000-00005F020000}"/>
    <cellStyle name="Normal 19 8" xfId="478" xr:uid="{00000000-0005-0000-0000-000060020000}"/>
    <cellStyle name="Normal 19 8 2" xfId="689" xr:uid="{00000000-0005-0000-0000-000061020000}"/>
    <cellStyle name="Normal 19 8 2 2" xfId="1128" xr:uid="{00000000-0005-0000-0000-000062020000}"/>
    <cellStyle name="Normal 19 8 3" xfId="917" xr:uid="{00000000-0005-0000-0000-000063020000}"/>
    <cellStyle name="Normal 19 9" xfId="577" xr:uid="{00000000-0005-0000-0000-000064020000}"/>
    <cellStyle name="Normal 19 9 2" xfId="1016" xr:uid="{00000000-0005-0000-0000-000065020000}"/>
    <cellStyle name="Normal 2" xfId="6" xr:uid="{00000000-0005-0000-0000-000066020000}"/>
    <cellStyle name="Normal 2 2" xfId="12" xr:uid="{00000000-0005-0000-0000-000067020000}"/>
    <cellStyle name="Normal 2 2 10" xfId="1283" xr:uid="{32500609-C92D-4C5E-ACC9-8EC8B1BDEAE4}"/>
    <cellStyle name="Normal 2 2 2" xfId="232" xr:uid="{00000000-0005-0000-0000-000068020000}"/>
    <cellStyle name="Normal 2 2 3" xfId="374" xr:uid="{00000000-0005-0000-0000-000069020000}"/>
    <cellStyle name="Normal 2 2 3 2" xfId="415" xr:uid="{00000000-0005-0000-0000-00006A020000}"/>
    <cellStyle name="Normal 2 2 3 2 2" xfId="531" xr:uid="{00000000-0005-0000-0000-00006B020000}"/>
    <cellStyle name="Normal 2 2 3 2 2 2" xfId="742" xr:uid="{00000000-0005-0000-0000-00006C020000}"/>
    <cellStyle name="Normal 2 2 3 2 2 2 2" xfId="1181" xr:uid="{00000000-0005-0000-0000-00006D020000}"/>
    <cellStyle name="Normal 2 2 3 2 2 3" xfId="970" xr:uid="{00000000-0005-0000-0000-00006E020000}"/>
    <cellStyle name="Normal 2 2 3 2 3" xfId="630" xr:uid="{00000000-0005-0000-0000-00006F020000}"/>
    <cellStyle name="Normal 2 2 3 2 3 2" xfId="1069" xr:uid="{00000000-0005-0000-0000-000070020000}"/>
    <cellStyle name="Normal 2 2 3 2 4" xfId="857" xr:uid="{00000000-0005-0000-0000-000071020000}"/>
    <cellStyle name="Normal 2 2 3 3" xfId="491" xr:uid="{00000000-0005-0000-0000-000072020000}"/>
    <cellStyle name="Normal 2 2 3 3 2" xfId="702" xr:uid="{00000000-0005-0000-0000-000073020000}"/>
    <cellStyle name="Normal 2 2 3 3 2 2" xfId="1141" xr:uid="{00000000-0005-0000-0000-000074020000}"/>
    <cellStyle name="Normal 2 2 3 3 3" xfId="930" xr:uid="{00000000-0005-0000-0000-000075020000}"/>
    <cellStyle name="Normal 2 2 3 4" xfId="590" xr:uid="{00000000-0005-0000-0000-000076020000}"/>
    <cellStyle name="Normal 2 2 3 4 2" xfId="1029" xr:uid="{00000000-0005-0000-0000-000077020000}"/>
    <cellStyle name="Normal 2 2 3 5" xfId="816" xr:uid="{00000000-0005-0000-0000-000078020000}"/>
    <cellStyle name="Normal 2 2 3 6" xfId="1251" xr:uid="{00000000-0005-0000-0000-000079020000}"/>
    <cellStyle name="Normal 2 2 3 7" xfId="1307" xr:uid="{44C0180E-50D1-46AD-8B56-9C0D8D685CA7}"/>
    <cellStyle name="Normal 2 2 4" xfId="398" xr:uid="{00000000-0005-0000-0000-00007A020000}"/>
    <cellStyle name="Normal 2 2 4 2" xfId="514" xr:uid="{00000000-0005-0000-0000-00007B020000}"/>
    <cellStyle name="Normal 2 2 4 2 2" xfId="725" xr:uid="{00000000-0005-0000-0000-00007C020000}"/>
    <cellStyle name="Normal 2 2 4 2 2 2" xfId="1164" xr:uid="{00000000-0005-0000-0000-00007D020000}"/>
    <cellStyle name="Normal 2 2 4 2 3" xfId="953" xr:uid="{00000000-0005-0000-0000-00007E020000}"/>
    <cellStyle name="Normal 2 2 4 3" xfId="613" xr:uid="{00000000-0005-0000-0000-00007F020000}"/>
    <cellStyle name="Normal 2 2 4 3 2" xfId="1052" xr:uid="{00000000-0005-0000-0000-000080020000}"/>
    <cellStyle name="Normal 2 2 4 4" xfId="840" xr:uid="{00000000-0005-0000-0000-000081020000}"/>
    <cellStyle name="Normal 2 2 5" xfId="473" xr:uid="{00000000-0005-0000-0000-000082020000}"/>
    <cellStyle name="Normal 2 2 5 2" xfId="685" xr:uid="{00000000-0005-0000-0000-000083020000}"/>
    <cellStyle name="Normal 2 2 5 2 2" xfId="1124" xr:uid="{00000000-0005-0000-0000-000084020000}"/>
    <cellStyle name="Normal 2 2 5 3" xfId="913" xr:uid="{00000000-0005-0000-0000-000085020000}"/>
    <cellStyle name="Normal 2 2 6" xfId="573" xr:uid="{00000000-0005-0000-0000-000086020000}"/>
    <cellStyle name="Normal 2 2 6 2" xfId="1012" xr:uid="{00000000-0005-0000-0000-000087020000}"/>
    <cellStyle name="Normal 2 2 7" xfId="786" xr:uid="{00000000-0005-0000-0000-000088020000}"/>
    <cellStyle name="Normal 2 2 8" xfId="1220" xr:uid="{00000000-0005-0000-0000-000089020000}"/>
    <cellStyle name="Normal 2 2 9" xfId="1228" xr:uid="{00000000-0005-0000-0000-00008A020000}"/>
    <cellStyle name="Normal 2 3" xfId="233" xr:uid="{00000000-0005-0000-0000-00008B020000}"/>
    <cellStyle name="Normal 2 4" xfId="34" xr:uid="{00000000-0005-0000-0000-00008C020000}"/>
    <cellStyle name="Normal 2 5" xfId="435" xr:uid="{00000000-0005-0000-0000-00008D020000}"/>
    <cellStyle name="Normal 2 5 2" xfId="551" xr:uid="{00000000-0005-0000-0000-00008E020000}"/>
    <cellStyle name="Normal 2 5 2 2" xfId="762" xr:uid="{00000000-0005-0000-0000-00008F020000}"/>
    <cellStyle name="Normal 2 5 2 2 2" xfId="1201" xr:uid="{00000000-0005-0000-0000-000090020000}"/>
    <cellStyle name="Normal 2 5 2 3" xfId="990" xr:uid="{00000000-0005-0000-0000-000091020000}"/>
    <cellStyle name="Normal 2 5 3" xfId="650" xr:uid="{00000000-0005-0000-0000-000092020000}"/>
    <cellStyle name="Normal 2 5 3 2" xfId="1089" xr:uid="{00000000-0005-0000-0000-000093020000}"/>
    <cellStyle name="Normal 2 5 4" xfId="877" xr:uid="{00000000-0005-0000-0000-000094020000}"/>
    <cellStyle name="Normal 2 6" xfId="445" xr:uid="{00000000-0005-0000-0000-000095020000}"/>
    <cellStyle name="Normal 2 6 2" xfId="561" xr:uid="{00000000-0005-0000-0000-000096020000}"/>
    <cellStyle name="Normal 2 6 2 2" xfId="772" xr:uid="{00000000-0005-0000-0000-000097020000}"/>
    <cellStyle name="Normal 2 6 2 2 2" xfId="1211" xr:uid="{00000000-0005-0000-0000-000098020000}"/>
    <cellStyle name="Normal 2 6 2 3" xfId="1000" xr:uid="{00000000-0005-0000-0000-000099020000}"/>
    <cellStyle name="Normal 2 6 3" xfId="660" xr:uid="{00000000-0005-0000-0000-00009A020000}"/>
    <cellStyle name="Normal 2 6 3 2" xfId="1099" xr:uid="{00000000-0005-0000-0000-00009B020000}"/>
    <cellStyle name="Normal 2 6 4" xfId="887" xr:uid="{00000000-0005-0000-0000-00009C020000}"/>
    <cellStyle name="Normal 2 7" xfId="454" xr:uid="{00000000-0005-0000-0000-00009D020000}"/>
    <cellStyle name="Normal 2 7 2" xfId="669" xr:uid="{00000000-0005-0000-0000-00009E020000}"/>
    <cellStyle name="Normal 2 7 2 2" xfId="1108" xr:uid="{00000000-0005-0000-0000-00009F020000}"/>
    <cellStyle name="Normal 2 7 3" xfId="896" xr:uid="{00000000-0005-0000-0000-0000A0020000}"/>
    <cellStyle name="Normal 20" xfId="234" xr:uid="{00000000-0005-0000-0000-0000A1020000}"/>
    <cellStyle name="Normal 21" xfId="235" xr:uid="{00000000-0005-0000-0000-0000A2020000}"/>
    <cellStyle name="Normal 22" xfId="236" xr:uid="{00000000-0005-0000-0000-0000A3020000}"/>
    <cellStyle name="Normal 23" xfId="237" xr:uid="{00000000-0005-0000-0000-0000A4020000}"/>
    <cellStyle name="Normal 24" xfId="238" xr:uid="{00000000-0005-0000-0000-0000A5020000}"/>
    <cellStyle name="Normal 25" xfId="239" xr:uid="{00000000-0005-0000-0000-0000A6020000}"/>
    <cellStyle name="Normal 26" xfId="240" xr:uid="{00000000-0005-0000-0000-0000A7020000}"/>
    <cellStyle name="Normal 26 2" xfId="241" xr:uid="{00000000-0005-0000-0000-0000A8020000}"/>
    <cellStyle name="Normal 26 2 2" xfId="350" xr:uid="{00000000-0005-0000-0000-0000A9020000}"/>
    <cellStyle name="Normal 26 3" xfId="349" xr:uid="{00000000-0005-0000-0000-0000AA020000}"/>
    <cellStyle name="Normal 27" xfId="242" xr:uid="{00000000-0005-0000-0000-0000AB020000}"/>
    <cellStyle name="Normal 27 2" xfId="27" xr:uid="{00000000-0005-0000-0000-0000AC020000}"/>
    <cellStyle name="Normal 27 2 2" xfId="352" xr:uid="{00000000-0005-0000-0000-0000AD020000}"/>
    <cellStyle name="Normal 27 3" xfId="351" xr:uid="{00000000-0005-0000-0000-0000AE020000}"/>
    <cellStyle name="Normal 28" xfId="243" xr:uid="{00000000-0005-0000-0000-0000AF020000}"/>
    <cellStyle name="Normal 29" xfId="244" xr:uid="{00000000-0005-0000-0000-0000B0020000}"/>
    <cellStyle name="Normal 29 2" xfId="353" xr:uid="{00000000-0005-0000-0000-0000B1020000}"/>
    <cellStyle name="Normal 3" xfId="5" xr:uid="{00000000-0005-0000-0000-0000B2020000}"/>
    <cellStyle name="Normal 3 10" xfId="467" xr:uid="{00000000-0005-0000-0000-0000B3020000}"/>
    <cellStyle name="Normal 3 10 2" xfId="682" xr:uid="{00000000-0005-0000-0000-0000B4020000}"/>
    <cellStyle name="Normal 3 10 2 2" xfId="1121" xr:uid="{00000000-0005-0000-0000-0000B5020000}"/>
    <cellStyle name="Normal 3 10 3" xfId="909" xr:uid="{00000000-0005-0000-0000-0000B6020000}"/>
    <cellStyle name="Normal 3 11" xfId="570" xr:uid="{00000000-0005-0000-0000-0000B7020000}"/>
    <cellStyle name="Normal 3 11 2" xfId="1009" xr:uid="{00000000-0005-0000-0000-0000B8020000}"/>
    <cellStyle name="Normal 3 12" xfId="782" xr:uid="{00000000-0005-0000-0000-0000B9020000}"/>
    <cellStyle name="Normal 3 13" xfId="1222" xr:uid="{00000000-0005-0000-0000-0000BA020000}"/>
    <cellStyle name="Normal 3 14" xfId="1278" xr:uid="{11BE55AB-4C60-4BF0-8EF3-D362E7A40D7E}"/>
    <cellStyle name="Normal 3 2" xfId="246" xr:uid="{00000000-0005-0000-0000-0000BB020000}"/>
    <cellStyle name="Normal 3 2 2" xfId="384" xr:uid="{00000000-0005-0000-0000-0000BC020000}"/>
    <cellStyle name="Normal 3 2 2 2" xfId="425" xr:uid="{00000000-0005-0000-0000-0000BD020000}"/>
    <cellStyle name="Normal 3 2 2 2 2" xfId="541" xr:uid="{00000000-0005-0000-0000-0000BE020000}"/>
    <cellStyle name="Normal 3 2 2 2 2 2" xfId="752" xr:uid="{00000000-0005-0000-0000-0000BF020000}"/>
    <cellStyle name="Normal 3 2 2 2 2 2 2" xfId="1191" xr:uid="{00000000-0005-0000-0000-0000C0020000}"/>
    <cellStyle name="Normal 3 2 2 2 2 3" xfId="980" xr:uid="{00000000-0005-0000-0000-0000C1020000}"/>
    <cellStyle name="Normal 3 2 2 2 3" xfId="640" xr:uid="{00000000-0005-0000-0000-0000C2020000}"/>
    <cellStyle name="Normal 3 2 2 2 3 2" xfId="1079" xr:uid="{00000000-0005-0000-0000-0000C3020000}"/>
    <cellStyle name="Normal 3 2 2 2 4" xfId="867" xr:uid="{00000000-0005-0000-0000-0000C4020000}"/>
    <cellStyle name="Normal 3 2 2 3" xfId="501" xr:uid="{00000000-0005-0000-0000-0000C5020000}"/>
    <cellStyle name="Normal 3 2 2 3 2" xfId="712" xr:uid="{00000000-0005-0000-0000-0000C6020000}"/>
    <cellStyle name="Normal 3 2 2 3 2 2" xfId="1151" xr:uid="{00000000-0005-0000-0000-0000C7020000}"/>
    <cellStyle name="Normal 3 2 2 3 3" xfId="940" xr:uid="{00000000-0005-0000-0000-0000C8020000}"/>
    <cellStyle name="Normal 3 2 2 4" xfId="600" xr:uid="{00000000-0005-0000-0000-0000C9020000}"/>
    <cellStyle name="Normal 3 2 2 4 2" xfId="1039" xr:uid="{00000000-0005-0000-0000-0000CA020000}"/>
    <cellStyle name="Normal 3 2 2 5" xfId="826" xr:uid="{00000000-0005-0000-0000-0000CB020000}"/>
    <cellStyle name="Normal 3 2 2 6" xfId="1261" xr:uid="{00000000-0005-0000-0000-0000CC020000}"/>
    <cellStyle name="Normal 3 2 2 7" xfId="1317" xr:uid="{CA7CB80A-F0D8-478A-9907-2CF351DE5C88}"/>
    <cellStyle name="Normal 3 2 3" xfId="408" xr:uid="{00000000-0005-0000-0000-0000CD020000}"/>
    <cellStyle name="Normal 3 2 3 2" xfId="524" xr:uid="{00000000-0005-0000-0000-0000CE020000}"/>
    <cellStyle name="Normal 3 2 3 2 2" xfId="735" xr:uid="{00000000-0005-0000-0000-0000CF020000}"/>
    <cellStyle name="Normal 3 2 3 2 2 2" xfId="1174" xr:uid="{00000000-0005-0000-0000-0000D0020000}"/>
    <cellStyle name="Normal 3 2 3 2 3" xfId="963" xr:uid="{00000000-0005-0000-0000-0000D1020000}"/>
    <cellStyle name="Normal 3 2 3 3" xfId="623" xr:uid="{00000000-0005-0000-0000-0000D2020000}"/>
    <cellStyle name="Normal 3 2 3 3 2" xfId="1062" xr:uid="{00000000-0005-0000-0000-0000D3020000}"/>
    <cellStyle name="Normal 3 2 3 4" xfId="850" xr:uid="{00000000-0005-0000-0000-0000D4020000}"/>
    <cellStyle name="Normal 3 2 4" xfId="463" xr:uid="{00000000-0005-0000-0000-0000D5020000}"/>
    <cellStyle name="Normal 3 2 4 2" xfId="678" xr:uid="{00000000-0005-0000-0000-0000D6020000}"/>
    <cellStyle name="Normal 3 2 4 2 2" xfId="1117" xr:uid="{00000000-0005-0000-0000-0000D7020000}"/>
    <cellStyle name="Normal 3 2 4 3" xfId="905" xr:uid="{00000000-0005-0000-0000-0000D8020000}"/>
    <cellStyle name="Normal 3 2 5" xfId="484" xr:uid="{00000000-0005-0000-0000-0000D9020000}"/>
    <cellStyle name="Normal 3 2 5 2" xfId="695" xr:uid="{00000000-0005-0000-0000-0000DA020000}"/>
    <cellStyle name="Normal 3 2 5 2 2" xfId="1134" xr:uid="{00000000-0005-0000-0000-0000DB020000}"/>
    <cellStyle name="Normal 3 2 5 3" xfId="923" xr:uid="{00000000-0005-0000-0000-0000DC020000}"/>
    <cellStyle name="Normal 3 2 6" xfId="583" xr:uid="{00000000-0005-0000-0000-0000DD020000}"/>
    <cellStyle name="Normal 3 2 6 2" xfId="1022" xr:uid="{00000000-0005-0000-0000-0000DE020000}"/>
    <cellStyle name="Normal 3 2 7" xfId="807" xr:uid="{00000000-0005-0000-0000-0000DF020000}"/>
    <cellStyle name="Normal 3 2 8" xfId="1242" xr:uid="{00000000-0005-0000-0000-0000E0020000}"/>
    <cellStyle name="Normal 3 2 9" xfId="1300" xr:uid="{260F54E2-6B6B-46A1-9AB1-379CA0FC289E}"/>
    <cellStyle name="Normal 3 3" xfId="247" xr:uid="{00000000-0005-0000-0000-0000E1020000}"/>
    <cellStyle name="Normal 3 3 2" xfId="385" xr:uid="{00000000-0005-0000-0000-0000E2020000}"/>
    <cellStyle name="Normal 3 3 2 2" xfId="426" xr:uid="{00000000-0005-0000-0000-0000E3020000}"/>
    <cellStyle name="Normal 3 3 2 2 2" xfId="542" xr:uid="{00000000-0005-0000-0000-0000E4020000}"/>
    <cellStyle name="Normal 3 3 2 2 2 2" xfId="753" xr:uid="{00000000-0005-0000-0000-0000E5020000}"/>
    <cellStyle name="Normal 3 3 2 2 2 2 2" xfId="1192" xr:uid="{00000000-0005-0000-0000-0000E6020000}"/>
    <cellStyle name="Normal 3 3 2 2 2 3" xfId="981" xr:uid="{00000000-0005-0000-0000-0000E7020000}"/>
    <cellStyle name="Normal 3 3 2 2 3" xfId="641" xr:uid="{00000000-0005-0000-0000-0000E8020000}"/>
    <cellStyle name="Normal 3 3 2 2 3 2" xfId="1080" xr:uid="{00000000-0005-0000-0000-0000E9020000}"/>
    <cellStyle name="Normal 3 3 2 2 4" xfId="868" xr:uid="{00000000-0005-0000-0000-0000EA020000}"/>
    <cellStyle name="Normal 3 3 2 3" xfId="502" xr:uid="{00000000-0005-0000-0000-0000EB020000}"/>
    <cellStyle name="Normal 3 3 2 3 2" xfId="713" xr:uid="{00000000-0005-0000-0000-0000EC020000}"/>
    <cellStyle name="Normal 3 3 2 3 2 2" xfId="1152" xr:uid="{00000000-0005-0000-0000-0000ED020000}"/>
    <cellStyle name="Normal 3 3 2 3 3" xfId="941" xr:uid="{00000000-0005-0000-0000-0000EE020000}"/>
    <cellStyle name="Normal 3 3 2 4" xfId="601" xr:uid="{00000000-0005-0000-0000-0000EF020000}"/>
    <cellStyle name="Normal 3 3 2 4 2" xfId="1040" xr:uid="{00000000-0005-0000-0000-0000F0020000}"/>
    <cellStyle name="Normal 3 3 2 5" xfId="827" xr:uid="{00000000-0005-0000-0000-0000F1020000}"/>
    <cellStyle name="Normal 3 3 2 6" xfId="1262" xr:uid="{00000000-0005-0000-0000-0000F2020000}"/>
    <cellStyle name="Normal 3 3 2 7" xfId="1318" xr:uid="{96218C6E-F168-4DE2-8AD5-9D256771DCE4}"/>
    <cellStyle name="Normal 3 3 3" xfId="409" xr:uid="{00000000-0005-0000-0000-0000F3020000}"/>
    <cellStyle name="Normal 3 3 3 2" xfId="525" xr:uid="{00000000-0005-0000-0000-0000F4020000}"/>
    <cellStyle name="Normal 3 3 3 2 2" xfId="736" xr:uid="{00000000-0005-0000-0000-0000F5020000}"/>
    <cellStyle name="Normal 3 3 3 2 2 2" xfId="1175" xr:uid="{00000000-0005-0000-0000-0000F6020000}"/>
    <cellStyle name="Normal 3 3 3 2 3" xfId="964" xr:uid="{00000000-0005-0000-0000-0000F7020000}"/>
    <cellStyle name="Normal 3 3 3 3" xfId="624" xr:uid="{00000000-0005-0000-0000-0000F8020000}"/>
    <cellStyle name="Normal 3 3 3 3 2" xfId="1063" xr:uid="{00000000-0005-0000-0000-0000F9020000}"/>
    <cellStyle name="Normal 3 3 3 4" xfId="851" xr:uid="{00000000-0005-0000-0000-0000FA020000}"/>
    <cellStyle name="Normal 3 3 4" xfId="464" xr:uid="{00000000-0005-0000-0000-0000FB020000}"/>
    <cellStyle name="Normal 3 3 4 2" xfId="679" xr:uid="{00000000-0005-0000-0000-0000FC020000}"/>
    <cellStyle name="Normal 3 3 4 2 2" xfId="1118" xr:uid="{00000000-0005-0000-0000-0000FD020000}"/>
    <cellStyle name="Normal 3 3 4 3" xfId="906" xr:uid="{00000000-0005-0000-0000-0000FE020000}"/>
    <cellStyle name="Normal 3 3 5" xfId="485" xr:uid="{00000000-0005-0000-0000-0000FF020000}"/>
    <cellStyle name="Normal 3 3 5 2" xfId="696" xr:uid="{00000000-0005-0000-0000-000000030000}"/>
    <cellStyle name="Normal 3 3 5 2 2" xfId="1135" xr:uid="{00000000-0005-0000-0000-000001030000}"/>
    <cellStyle name="Normal 3 3 5 3" xfId="924" xr:uid="{00000000-0005-0000-0000-000002030000}"/>
    <cellStyle name="Normal 3 3 6" xfId="584" xr:uid="{00000000-0005-0000-0000-000003030000}"/>
    <cellStyle name="Normal 3 3 6 2" xfId="1023" xr:uid="{00000000-0005-0000-0000-000004030000}"/>
    <cellStyle name="Normal 3 3 7" xfId="808" xr:uid="{00000000-0005-0000-0000-000005030000}"/>
    <cellStyle name="Normal 3 3 8" xfId="1243" xr:uid="{00000000-0005-0000-0000-000006030000}"/>
    <cellStyle name="Normal 3 3 9" xfId="1301" xr:uid="{4CEAFA3D-8E46-457D-8206-867EC8247557}"/>
    <cellStyle name="Normal 3 4" xfId="245" xr:uid="{00000000-0005-0000-0000-000007030000}"/>
    <cellStyle name="Normal 3 5" xfId="371" xr:uid="{00000000-0005-0000-0000-000008030000}"/>
    <cellStyle name="Normal 3 5 2" xfId="412" xr:uid="{00000000-0005-0000-0000-000009030000}"/>
    <cellStyle name="Normal 3 5 2 2" xfId="528" xr:uid="{00000000-0005-0000-0000-00000A030000}"/>
    <cellStyle name="Normal 3 5 2 2 2" xfId="739" xr:uid="{00000000-0005-0000-0000-00000B030000}"/>
    <cellStyle name="Normal 3 5 2 2 2 2" xfId="1178" xr:uid="{00000000-0005-0000-0000-00000C030000}"/>
    <cellStyle name="Normal 3 5 2 2 3" xfId="967" xr:uid="{00000000-0005-0000-0000-00000D030000}"/>
    <cellStyle name="Normal 3 5 2 3" xfId="627" xr:uid="{00000000-0005-0000-0000-00000E030000}"/>
    <cellStyle name="Normal 3 5 2 3 2" xfId="1066" xr:uid="{00000000-0005-0000-0000-00000F030000}"/>
    <cellStyle name="Normal 3 5 2 4" xfId="854" xr:uid="{00000000-0005-0000-0000-000010030000}"/>
    <cellStyle name="Normal 3 5 3" xfId="488" xr:uid="{00000000-0005-0000-0000-000011030000}"/>
    <cellStyle name="Normal 3 5 3 2" xfId="699" xr:uid="{00000000-0005-0000-0000-000012030000}"/>
    <cellStyle name="Normal 3 5 3 2 2" xfId="1138" xr:uid="{00000000-0005-0000-0000-000013030000}"/>
    <cellStyle name="Normal 3 5 3 3" xfId="927" xr:uid="{00000000-0005-0000-0000-000014030000}"/>
    <cellStyle name="Normal 3 5 4" xfId="587" xr:uid="{00000000-0005-0000-0000-000015030000}"/>
    <cellStyle name="Normal 3 5 4 2" xfId="1026" xr:uid="{00000000-0005-0000-0000-000016030000}"/>
    <cellStyle name="Normal 3 5 5" xfId="813" xr:uid="{00000000-0005-0000-0000-000017030000}"/>
    <cellStyle name="Normal 3 5 6" xfId="1248" xr:uid="{00000000-0005-0000-0000-000018030000}"/>
    <cellStyle name="Normal 3 5 7" xfId="1304" xr:uid="{1B5BEC4F-337A-4138-A899-12953D15F4B9}"/>
    <cellStyle name="Normal 3 6" xfId="395" xr:uid="{00000000-0005-0000-0000-000019030000}"/>
    <cellStyle name="Normal 3 6 2" xfId="511" xr:uid="{00000000-0005-0000-0000-00001A030000}"/>
    <cellStyle name="Normal 3 6 2 2" xfId="722" xr:uid="{00000000-0005-0000-0000-00001B030000}"/>
    <cellStyle name="Normal 3 6 2 2 2" xfId="1161" xr:uid="{00000000-0005-0000-0000-00001C030000}"/>
    <cellStyle name="Normal 3 6 2 3" xfId="950" xr:uid="{00000000-0005-0000-0000-00001D030000}"/>
    <cellStyle name="Normal 3 6 3" xfId="610" xr:uid="{00000000-0005-0000-0000-00001E030000}"/>
    <cellStyle name="Normal 3 6 3 2" xfId="1049" xr:uid="{00000000-0005-0000-0000-00001F030000}"/>
    <cellStyle name="Normal 3 6 4" xfId="837" xr:uid="{00000000-0005-0000-0000-000020030000}"/>
    <cellStyle name="Normal 3 6 5" xfId="1224" xr:uid="{00000000-0005-0000-0000-000021030000}"/>
    <cellStyle name="Normal 3 6 6" xfId="1280" xr:uid="{72EB76AA-01B6-4F49-9C8D-5BE81AF422F7}"/>
    <cellStyle name="Normal 3 7" xfId="393" xr:uid="{00000000-0005-0000-0000-000022030000}"/>
    <cellStyle name="Normal 3 7 2" xfId="510" xr:uid="{00000000-0005-0000-0000-000023030000}"/>
    <cellStyle name="Normal 3 7 2 2" xfId="721" xr:uid="{00000000-0005-0000-0000-000024030000}"/>
    <cellStyle name="Normal 3 7 2 2 2" xfId="1160" xr:uid="{00000000-0005-0000-0000-000025030000}"/>
    <cellStyle name="Normal 3 7 2 3" xfId="949" xr:uid="{00000000-0005-0000-0000-000026030000}"/>
    <cellStyle name="Normal 3 7 3" xfId="609" xr:uid="{00000000-0005-0000-0000-000027030000}"/>
    <cellStyle name="Normal 3 7 3 2" xfId="1048" xr:uid="{00000000-0005-0000-0000-000028030000}"/>
    <cellStyle name="Normal 3 7 4" xfId="835" xr:uid="{00000000-0005-0000-0000-000029030000}"/>
    <cellStyle name="Normal 3 8" xfId="436" xr:uid="{00000000-0005-0000-0000-00002A030000}"/>
    <cellStyle name="Normal 3 8 2" xfId="552" xr:uid="{00000000-0005-0000-0000-00002B030000}"/>
    <cellStyle name="Normal 3 8 2 2" xfId="763" xr:uid="{00000000-0005-0000-0000-00002C030000}"/>
    <cellStyle name="Normal 3 8 2 2 2" xfId="1202" xr:uid="{00000000-0005-0000-0000-00002D030000}"/>
    <cellStyle name="Normal 3 8 2 3" xfId="991" xr:uid="{00000000-0005-0000-0000-00002E030000}"/>
    <cellStyle name="Normal 3 8 3" xfId="651" xr:uid="{00000000-0005-0000-0000-00002F030000}"/>
    <cellStyle name="Normal 3 8 3 2" xfId="1090" xr:uid="{00000000-0005-0000-0000-000030030000}"/>
    <cellStyle name="Normal 3 8 4" xfId="878" xr:uid="{00000000-0005-0000-0000-000031030000}"/>
    <cellStyle name="Normal 3 9" xfId="446" xr:uid="{00000000-0005-0000-0000-000032030000}"/>
    <cellStyle name="Normal 3 9 2" xfId="562" xr:uid="{00000000-0005-0000-0000-000033030000}"/>
    <cellStyle name="Normal 3 9 2 2" xfId="773" xr:uid="{00000000-0005-0000-0000-000034030000}"/>
    <cellStyle name="Normal 3 9 2 2 2" xfId="1212" xr:uid="{00000000-0005-0000-0000-000035030000}"/>
    <cellStyle name="Normal 3 9 2 3" xfId="1001" xr:uid="{00000000-0005-0000-0000-000036030000}"/>
    <cellStyle name="Normal 3 9 3" xfId="661" xr:uid="{00000000-0005-0000-0000-000037030000}"/>
    <cellStyle name="Normal 3 9 3 2" xfId="1100" xr:uid="{00000000-0005-0000-0000-000038030000}"/>
    <cellStyle name="Normal 3 9 4" xfId="888" xr:uid="{00000000-0005-0000-0000-000039030000}"/>
    <cellStyle name="Normal 30" xfId="248" xr:uid="{00000000-0005-0000-0000-00003A030000}"/>
    <cellStyle name="Normal 31" xfId="249" xr:uid="{00000000-0005-0000-0000-00003B030000}"/>
    <cellStyle name="Normal 31 2" xfId="386" xr:uid="{00000000-0005-0000-0000-00003C030000}"/>
    <cellStyle name="Normal 31 2 2" xfId="427" xr:uid="{00000000-0005-0000-0000-00003D030000}"/>
    <cellStyle name="Normal 31 2 2 2" xfId="543" xr:uid="{00000000-0005-0000-0000-00003E030000}"/>
    <cellStyle name="Normal 31 2 2 2 2" xfId="754" xr:uid="{00000000-0005-0000-0000-00003F030000}"/>
    <cellStyle name="Normal 31 2 2 2 2 2" xfId="1193" xr:uid="{00000000-0005-0000-0000-000040030000}"/>
    <cellStyle name="Normal 31 2 2 2 3" xfId="982" xr:uid="{00000000-0005-0000-0000-000041030000}"/>
    <cellStyle name="Normal 31 2 2 3" xfId="642" xr:uid="{00000000-0005-0000-0000-000042030000}"/>
    <cellStyle name="Normal 31 2 2 3 2" xfId="1081" xr:uid="{00000000-0005-0000-0000-000043030000}"/>
    <cellStyle name="Normal 31 2 2 4" xfId="869" xr:uid="{00000000-0005-0000-0000-000044030000}"/>
    <cellStyle name="Normal 31 2 3" xfId="503" xr:uid="{00000000-0005-0000-0000-000045030000}"/>
    <cellStyle name="Normal 31 2 3 2" xfId="714" xr:uid="{00000000-0005-0000-0000-000046030000}"/>
    <cellStyle name="Normal 31 2 3 2 2" xfId="1153" xr:uid="{00000000-0005-0000-0000-000047030000}"/>
    <cellStyle name="Normal 31 2 3 3" xfId="942" xr:uid="{00000000-0005-0000-0000-000048030000}"/>
    <cellStyle name="Normal 31 2 4" xfId="602" xr:uid="{00000000-0005-0000-0000-000049030000}"/>
    <cellStyle name="Normal 31 2 4 2" xfId="1041" xr:uid="{00000000-0005-0000-0000-00004A030000}"/>
    <cellStyle name="Normal 31 2 5" xfId="828" xr:uid="{00000000-0005-0000-0000-00004B030000}"/>
    <cellStyle name="Normal 31 2 6" xfId="1263" xr:uid="{00000000-0005-0000-0000-00004C030000}"/>
    <cellStyle name="Normal 31 2 7" xfId="1319" xr:uid="{C4322568-80AA-4A0D-9215-DB9C0428C504}"/>
    <cellStyle name="Normal 31 3" xfId="410" xr:uid="{00000000-0005-0000-0000-00004D030000}"/>
    <cellStyle name="Normal 31 3 2" xfId="526" xr:uid="{00000000-0005-0000-0000-00004E030000}"/>
    <cellStyle name="Normal 31 3 2 2" xfId="737" xr:uid="{00000000-0005-0000-0000-00004F030000}"/>
    <cellStyle name="Normal 31 3 2 2 2" xfId="1176" xr:uid="{00000000-0005-0000-0000-000050030000}"/>
    <cellStyle name="Normal 31 3 2 3" xfId="965" xr:uid="{00000000-0005-0000-0000-000051030000}"/>
    <cellStyle name="Normal 31 3 3" xfId="625" xr:uid="{00000000-0005-0000-0000-000052030000}"/>
    <cellStyle name="Normal 31 3 3 2" xfId="1064" xr:uid="{00000000-0005-0000-0000-000053030000}"/>
    <cellStyle name="Normal 31 3 4" xfId="852" xr:uid="{00000000-0005-0000-0000-000054030000}"/>
    <cellStyle name="Normal 31 4" xfId="465" xr:uid="{00000000-0005-0000-0000-000055030000}"/>
    <cellStyle name="Normal 31 4 2" xfId="680" xr:uid="{00000000-0005-0000-0000-000056030000}"/>
    <cellStyle name="Normal 31 4 2 2" xfId="1119" xr:uid="{00000000-0005-0000-0000-000057030000}"/>
    <cellStyle name="Normal 31 4 3" xfId="907" xr:uid="{00000000-0005-0000-0000-000058030000}"/>
    <cellStyle name="Normal 31 5" xfId="486" xr:uid="{00000000-0005-0000-0000-000059030000}"/>
    <cellStyle name="Normal 31 5 2" xfId="697" xr:uid="{00000000-0005-0000-0000-00005A030000}"/>
    <cellStyle name="Normal 31 5 2 2" xfId="1136" xr:uid="{00000000-0005-0000-0000-00005B030000}"/>
    <cellStyle name="Normal 31 5 3" xfId="925" xr:uid="{00000000-0005-0000-0000-00005C030000}"/>
    <cellStyle name="Normal 31 6" xfId="585" xr:uid="{00000000-0005-0000-0000-00005D030000}"/>
    <cellStyle name="Normal 31 6 2" xfId="1024" xr:uid="{00000000-0005-0000-0000-00005E030000}"/>
    <cellStyle name="Normal 31 7" xfId="809" xr:uid="{00000000-0005-0000-0000-00005F030000}"/>
    <cellStyle name="Normal 31 8" xfId="1244" xr:uid="{00000000-0005-0000-0000-000060030000}"/>
    <cellStyle name="Normal 31 9" xfId="1302" xr:uid="{1A5C99FA-FCA5-41C8-B030-6856B72C0F5E}"/>
    <cellStyle name="Normal 32" xfId="250" xr:uid="{00000000-0005-0000-0000-000061030000}"/>
    <cellStyle name="Normal 33" xfId="251" xr:uid="{00000000-0005-0000-0000-000062030000}"/>
    <cellStyle name="Normal 34" xfId="252" xr:uid="{00000000-0005-0000-0000-000063030000}"/>
    <cellStyle name="Normal 35" xfId="253" xr:uid="{00000000-0005-0000-0000-000064030000}"/>
    <cellStyle name="Normal 36" xfId="254" xr:uid="{00000000-0005-0000-0000-000065030000}"/>
    <cellStyle name="Normal 36 2" xfId="387" xr:uid="{00000000-0005-0000-0000-000066030000}"/>
    <cellStyle name="Normal 36 2 2" xfId="428" xr:uid="{00000000-0005-0000-0000-000067030000}"/>
    <cellStyle name="Normal 36 2 2 2" xfId="544" xr:uid="{00000000-0005-0000-0000-000068030000}"/>
    <cellStyle name="Normal 36 2 2 2 2" xfId="755" xr:uid="{00000000-0005-0000-0000-000069030000}"/>
    <cellStyle name="Normal 36 2 2 2 2 2" xfId="1194" xr:uid="{00000000-0005-0000-0000-00006A030000}"/>
    <cellStyle name="Normal 36 2 2 2 3" xfId="983" xr:uid="{00000000-0005-0000-0000-00006B030000}"/>
    <cellStyle name="Normal 36 2 2 3" xfId="643" xr:uid="{00000000-0005-0000-0000-00006C030000}"/>
    <cellStyle name="Normal 36 2 2 3 2" xfId="1082" xr:uid="{00000000-0005-0000-0000-00006D030000}"/>
    <cellStyle name="Normal 36 2 2 4" xfId="870" xr:uid="{00000000-0005-0000-0000-00006E030000}"/>
    <cellStyle name="Normal 36 2 3" xfId="504" xr:uid="{00000000-0005-0000-0000-00006F030000}"/>
    <cellStyle name="Normal 36 2 3 2" xfId="715" xr:uid="{00000000-0005-0000-0000-000070030000}"/>
    <cellStyle name="Normal 36 2 3 2 2" xfId="1154" xr:uid="{00000000-0005-0000-0000-000071030000}"/>
    <cellStyle name="Normal 36 2 3 3" xfId="943" xr:uid="{00000000-0005-0000-0000-000072030000}"/>
    <cellStyle name="Normal 36 2 4" xfId="603" xr:uid="{00000000-0005-0000-0000-000073030000}"/>
    <cellStyle name="Normal 36 2 4 2" xfId="1042" xr:uid="{00000000-0005-0000-0000-000074030000}"/>
    <cellStyle name="Normal 36 2 5" xfId="829" xr:uid="{00000000-0005-0000-0000-000075030000}"/>
    <cellStyle name="Normal 36 2 6" xfId="1264" xr:uid="{00000000-0005-0000-0000-000076030000}"/>
    <cellStyle name="Normal 36 2 7" xfId="1320" xr:uid="{006C449E-CF1F-4379-B141-802CBBE4001B}"/>
    <cellStyle name="Normal 36 3" xfId="411" xr:uid="{00000000-0005-0000-0000-000077030000}"/>
    <cellStyle name="Normal 36 3 2" xfId="527" xr:uid="{00000000-0005-0000-0000-000078030000}"/>
    <cellStyle name="Normal 36 3 2 2" xfId="738" xr:uid="{00000000-0005-0000-0000-000079030000}"/>
    <cellStyle name="Normal 36 3 2 2 2" xfId="1177" xr:uid="{00000000-0005-0000-0000-00007A030000}"/>
    <cellStyle name="Normal 36 3 2 3" xfId="966" xr:uid="{00000000-0005-0000-0000-00007B030000}"/>
    <cellStyle name="Normal 36 3 3" xfId="626" xr:uid="{00000000-0005-0000-0000-00007C030000}"/>
    <cellStyle name="Normal 36 3 3 2" xfId="1065" xr:uid="{00000000-0005-0000-0000-00007D030000}"/>
    <cellStyle name="Normal 36 3 4" xfId="853" xr:uid="{00000000-0005-0000-0000-00007E030000}"/>
    <cellStyle name="Normal 36 4" xfId="466" xr:uid="{00000000-0005-0000-0000-00007F030000}"/>
    <cellStyle name="Normal 36 4 2" xfId="681" xr:uid="{00000000-0005-0000-0000-000080030000}"/>
    <cellStyle name="Normal 36 4 2 2" xfId="1120" xr:uid="{00000000-0005-0000-0000-000081030000}"/>
    <cellStyle name="Normal 36 4 3" xfId="908" xr:uid="{00000000-0005-0000-0000-000082030000}"/>
    <cellStyle name="Normal 36 5" xfId="487" xr:uid="{00000000-0005-0000-0000-000083030000}"/>
    <cellStyle name="Normal 36 5 2" xfId="698" xr:uid="{00000000-0005-0000-0000-000084030000}"/>
    <cellStyle name="Normal 36 5 2 2" xfId="1137" xr:uid="{00000000-0005-0000-0000-000085030000}"/>
    <cellStyle name="Normal 36 5 3" xfId="926" xr:uid="{00000000-0005-0000-0000-000086030000}"/>
    <cellStyle name="Normal 36 6" xfId="586" xr:uid="{00000000-0005-0000-0000-000087030000}"/>
    <cellStyle name="Normal 36 6 2" xfId="1025" xr:uid="{00000000-0005-0000-0000-000088030000}"/>
    <cellStyle name="Normal 36 7" xfId="810" xr:uid="{00000000-0005-0000-0000-000089030000}"/>
    <cellStyle name="Normal 36 8" xfId="1245" xr:uid="{00000000-0005-0000-0000-00008A030000}"/>
    <cellStyle name="Normal 36 9" xfId="1303" xr:uid="{8926DCB5-675F-4AD9-9E26-70E1E0548BAB}"/>
    <cellStyle name="Normal 37" xfId="20" xr:uid="{00000000-0005-0000-0000-00008B030000}"/>
    <cellStyle name="Normal 37 10" xfId="1232" xr:uid="{00000000-0005-0000-0000-00008C030000}"/>
    <cellStyle name="Normal 37 11" xfId="1287" xr:uid="{AAF919A3-878D-4F50-82B8-75D61ED99F28}"/>
    <cellStyle name="Normal 37 2" xfId="377" xr:uid="{00000000-0005-0000-0000-00008D030000}"/>
    <cellStyle name="Normal 37 2 2" xfId="418" xr:uid="{00000000-0005-0000-0000-00008E030000}"/>
    <cellStyle name="Normal 37 2 2 2" xfId="534" xr:uid="{00000000-0005-0000-0000-00008F030000}"/>
    <cellStyle name="Normal 37 2 2 2 2" xfId="745" xr:uid="{00000000-0005-0000-0000-000090030000}"/>
    <cellStyle name="Normal 37 2 2 2 2 2" xfId="1184" xr:uid="{00000000-0005-0000-0000-000091030000}"/>
    <cellStyle name="Normal 37 2 2 2 3" xfId="973" xr:uid="{00000000-0005-0000-0000-000092030000}"/>
    <cellStyle name="Normal 37 2 2 3" xfId="633" xr:uid="{00000000-0005-0000-0000-000093030000}"/>
    <cellStyle name="Normal 37 2 2 3 2" xfId="1072" xr:uid="{00000000-0005-0000-0000-000094030000}"/>
    <cellStyle name="Normal 37 2 2 4" xfId="860" xr:uid="{00000000-0005-0000-0000-000095030000}"/>
    <cellStyle name="Normal 37 2 3" xfId="494" xr:uid="{00000000-0005-0000-0000-000096030000}"/>
    <cellStyle name="Normal 37 2 3 2" xfId="705" xr:uid="{00000000-0005-0000-0000-000097030000}"/>
    <cellStyle name="Normal 37 2 3 2 2" xfId="1144" xr:uid="{00000000-0005-0000-0000-000098030000}"/>
    <cellStyle name="Normal 37 2 3 3" xfId="933" xr:uid="{00000000-0005-0000-0000-000099030000}"/>
    <cellStyle name="Normal 37 2 4" xfId="593" xr:uid="{00000000-0005-0000-0000-00009A030000}"/>
    <cellStyle name="Normal 37 2 4 2" xfId="1032" xr:uid="{00000000-0005-0000-0000-00009B030000}"/>
    <cellStyle name="Normal 37 2 5" xfId="819" xr:uid="{00000000-0005-0000-0000-00009C030000}"/>
    <cellStyle name="Normal 37 2 6" xfId="1254" xr:uid="{00000000-0005-0000-0000-00009D030000}"/>
    <cellStyle name="Normal 37 2 7" xfId="1310" xr:uid="{BF14BAC5-2990-4CE2-9CA6-C708F3D8495C}"/>
    <cellStyle name="Normal 37 3" xfId="401" xr:uid="{00000000-0005-0000-0000-00009E030000}"/>
    <cellStyle name="Normal 37 3 2" xfId="517" xr:uid="{00000000-0005-0000-0000-00009F030000}"/>
    <cellStyle name="Normal 37 3 2 2" xfId="728" xr:uid="{00000000-0005-0000-0000-0000A0030000}"/>
    <cellStyle name="Normal 37 3 2 2 2" xfId="1167" xr:uid="{00000000-0005-0000-0000-0000A1030000}"/>
    <cellStyle name="Normal 37 3 2 3" xfId="956" xr:uid="{00000000-0005-0000-0000-0000A2030000}"/>
    <cellStyle name="Normal 37 3 3" xfId="616" xr:uid="{00000000-0005-0000-0000-0000A3030000}"/>
    <cellStyle name="Normal 37 3 3 2" xfId="1055" xr:uid="{00000000-0005-0000-0000-0000A4030000}"/>
    <cellStyle name="Normal 37 3 4" xfId="843" xr:uid="{00000000-0005-0000-0000-0000A5030000}"/>
    <cellStyle name="Normal 37 4" xfId="439" xr:uid="{00000000-0005-0000-0000-0000A6030000}"/>
    <cellStyle name="Normal 37 4 2" xfId="555" xr:uid="{00000000-0005-0000-0000-0000A7030000}"/>
    <cellStyle name="Normal 37 4 2 2" xfId="766" xr:uid="{00000000-0005-0000-0000-0000A8030000}"/>
    <cellStyle name="Normal 37 4 2 2 2" xfId="1205" xr:uid="{00000000-0005-0000-0000-0000A9030000}"/>
    <cellStyle name="Normal 37 4 2 3" xfId="994" xr:uid="{00000000-0005-0000-0000-0000AA030000}"/>
    <cellStyle name="Normal 37 4 3" xfId="654" xr:uid="{00000000-0005-0000-0000-0000AB030000}"/>
    <cellStyle name="Normal 37 4 3 2" xfId="1093" xr:uid="{00000000-0005-0000-0000-0000AC030000}"/>
    <cellStyle name="Normal 37 4 4" xfId="881" xr:uid="{00000000-0005-0000-0000-0000AD030000}"/>
    <cellStyle name="Normal 37 5" xfId="449" xr:uid="{00000000-0005-0000-0000-0000AE030000}"/>
    <cellStyle name="Normal 37 5 2" xfId="565" xr:uid="{00000000-0005-0000-0000-0000AF030000}"/>
    <cellStyle name="Normal 37 5 2 2" xfId="776" xr:uid="{00000000-0005-0000-0000-0000B0030000}"/>
    <cellStyle name="Normal 37 5 2 2 2" xfId="1215" xr:uid="{00000000-0005-0000-0000-0000B1030000}"/>
    <cellStyle name="Normal 37 5 2 3" xfId="1004" xr:uid="{00000000-0005-0000-0000-0000B2030000}"/>
    <cellStyle name="Normal 37 5 3" xfId="664" xr:uid="{00000000-0005-0000-0000-0000B3030000}"/>
    <cellStyle name="Normal 37 5 3 2" xfId="1103" xr:uid="{00000000-0005-0000-0000-0000B4030000}"/>
    <cellStyle name="Normal 37 5 4" xfId="891" xr:uid="{00000000-0005-0000-0000-0000B5030000}"/>
    <cellStyle name="Normal 37 6" xfId="455" xr:uid="{00000000-0005-0000-0000-0000B6030000}"/>
    <cellStyle name="Normal 37 6 2" xfId="670" xr:uid="{00000000-0005-0000-0000-0000B7030000}"/>
    <cellStyle name="Normal 37 6 2 2" xfId="1109" xr:uid="{00000000-0005-0000-0000-0000B8030000}"/>
    <cellStyle name="Normal 37 6 3" xfId="897" xr:uid="{00000000-0005-0000-0000-0000B9030000}"/>
    <cellStyle name="Normal 37 7" xfId="477" xr:uid="{00000000-0005-0000-0000-0000BA030000}"/>
    <cellStyle name="Normal 37 7 2" xfId="688" xr:uid="{00000000-0005-0000-0000-0000BB030000}"/>
    <cellStyle name="Normal 37 7 2 2" xfId="1127" xr:uid="{00000000-0005-0000-0000-0000BC030000}"/>
    <cellStyle name="Normal 37 7 3" xfId="916" xr:uid="{00000000-0005-0000-0000-0000BD030000}"/>
    <cellStyle name="Normal 37 8" xfId="576" xr:uid="{00000000-0005-0000-0000-0000BE030000}"/>
    <cellStyle name="Normal 37 8 2" xfId="1015" xr:uid="{00000000-0005-0000-0000-0000BF030000}"/>
    <cellStyle name="Normal 37 9" xfId="791" xr:uid="{00000000-0005-0000-0000-0000C0030000}"/>
    <cellStyle name="Normal 38" xfId="341" xr:uid="{00000000-0005-0000-0000-0000C1030000}"/>
    <cellStyle name="Normal 38 2" xfId="347" xr:uid="{00000000-0005-0000-0000-0000C2030000}"/>
    <cellStyle name="Normal 39" xfId="344" xr:uid="{00000000-0005-0000-0000-0000C3030000}"/>
    <cellStyle name="Normal 39 2" xfId="354" xr:uid="{00000000-0005-0000-0000-0000C4030000}"/>
    <cellStyle name="Normal 4" xfId="10" xr:uid="{00000000-0005-0000-0000-0000C5030000}"/>
    <cellStyle name="Normal 4 2" xfId="17" xr:uid="{00000000-0005-0000-0000-0000C6030000}"/>
    <cellStyle name="Normal 4 3" xfId="255" xr:uid="{00000000-0005-0000-0000-0000C7030000}"/>
    <cellStyle name="Normal 4 4" xfId="471" xr:uid="{00000000-0005-0000-0000-0000C8030000}"/>
    <cellStyle name="Normal 40" xfId="346" xr:uid="{00000000-0005-0000-0000-0000C9030000}"/>
    <cellStyle name="Normal 41" xfId="388" xr:uid="{00000000-0005-0000-0000-0000CA030000}"/>
    <cellStyle name="Normal 41 2" xfId="429" xr:uid="{00000000-0005-0000-0000-0000CB030000}"/>
    <cellStyle name="Normal 41 2 2" xfId="545" xr:uid="{00000000-0005-0000-0000-0000CC030000}"/>
    <cellStyle name="Normal 41 2 2 2" xfId="756" xr:uid="{00000000-0005-0000-0000-0000CD030000}"/>
    <cellStyle name="Normal 41 2 2 2 2" xfId="1195" xr:uid="{00000000-0005-0000-0000-0000CE030000}"/>
    <cellStyle name="Normal 41 2 2 3" xfId="984" xr:uid="{00000000-0005-0000-0000-0000CF030000}"/>
    <cellStyle name="Normal 41 2 3" xfId="644" xr:uid="{00000000-0005-0000-0000-0000D0030000}"/>
    <cellStyle name="Normal 41 2 3 2" xfId="1083" xr:uid="{00000000-0005-0000-0000-0000D1030000}"/>
    <cellStyle name="Normal 41 2 4" xfId="871" xr:uid="{00000000-0005-0000-0000-0000D2030000}"/>
    <cellStyle name="Normal 41 3" xfId="505" xr:uid="{00000000-0005-0000-0000-0000D3030000}"/>
    <cellStyle name="Normal 41 3 2" xfId="716" xr:uid="{00000000-0005-0000-0000-0000D4030000}"/>
    <cellStyle name="Normal 41 3 2 2" xfId="1155" xr:uid="{00000000-0005-0000-0000-0000D5030000}"/>
    <cellStyle name="Normal 41 3 3" xfId="944" xr:uid="{00000000-0005-0000-0000-0000D6030000}"/>
    <cellStyle name="Normal 41 4" xfId="604" xr:uid="{00000000-0005-0000-0000-0000D7030000}"/>
    <cellStyle name="Normal 41 4 2" xfId="1043" xr:uid="{00000000-0005-0000-0000-0000D8030000}"/>
    <cellStyle name="Normal 41 5" xfId="830" xr:uid="{00000000-0005-0000-0000-0000D9030000}"/>
    <cellStyle name="Normal 41 6" xfId="1265" xr:uid="{00000000-0005-0000-0000-0000DA030000}"/>
    <cellStyle name="Normal 41 7" xfId="1321" xr:uid="{FF2662AF-2571-4FB3-BEF2-4F7F5B615C12}"/>
    <cellStyle name="Normal 42" xfId="390" xr:uid="{00000000-0005-0000-0000-0000DB030000}"/>
    <cellStyle name="Normal 42 2" xfId="431" xr:uid="{00000000-0005-0000-0000-0000DC030000}"/>
    <cellStyle name="Normal 42 2 2" xfId="547" xr:uid="{00000000-0005-0000-0000-0000DD030000}"/>
    <cellStyle name="Normal 42 2 2 2" xfId="758" xr:uid="{00000000-0005-0000-0000-0000DE030000}"/>
    <cellStyle name="Normal 42 2 2 2 2" xfId="1197" xr:uid="{00000000-0005-0000-0000-0000DF030000}"/>
    <cellStyle name="Normal 42 2 2 3" xfId="986" xr:uid="{00000000-0005-0000-0000-0000E0030000}"/>
    <cellStyle name="Normal 42 2 3" xfId="646" xr:uid="{00000000-0005-0000-0000-0000E1030000}"/>
    <cellStyle name="Normal 42 2 3 2" xfId="1085" xr:uid="{00000000-0005-0000-0000-0000E2030000}"/>
    <cellStyle name="Normal 42 2 4" xfId="873" xr:uid="{00000000-0005-0000-0000-0000E3030000}"/>
    <cellStyle name="Normal 42 3" xfId="507" xr:uid="{00000000-0005-0000-0000-0000E4030000}"/>
    <cellStyle name="Normal 42 3 2" xfId="718" xr:uid="{00000000-0005-0000-0000-0000E5030000}"/>
    <cellStyle name="Normal 42 3 2 2" xfId="1157" xr:uid="{00000000-0005-0000-0000-0000E6030000}"/>
    <cellStyle name="Normal 42 3 3" xfId="946" xr:uid="{00000000-0005-0000-0000-0000E7030000}"/>
    <cellStyle name="Normal 42 4" xfId="606" xr:uid="{00000000-0005-0000-0000-0000E8030000}"/>
    <cellStyle name="Normal 42 4 2" xfId="1045" xr:uid="{00000000-0005-0000-0000-0000E9030000}"/>
    <cellStyle name="Normal 42 5" xfId="832" xr:uid="{00000000-0005-0000-0000-0000EA030000}"/>
    <cellStyle name="Normal 42 6" xfId="1267" xr:uid="{00000000-0005-0000-0000-0000EB030000}"/>
    <cellStyle name="Normal 42 7" xfId="1323" xr:uid="{59E44CA8-BA6D-4BA6-A4EF-3F2FB466DE6E}"/>
    <cellStyle name="Normal 43" xfId="1270" xr:uid="{00000000-0005-0000-0000-0000EC030000}"/>
    <cellStyle name="Normal 43 2" xfId="1326" xr:uid="{CF074D89-3FFA-4B5E-9D29-30F82881E4CF}"/>
    <cellStyle name="Normal 44" xfId="1272" xr:uid="{00000000-0005-0000-0000-0000ED030000}"/>
    <cellStyle name="Normal 44 2" xfId="1273" xr:uid="{00000000-0005-0000-0000-0000EE030000}"/>
    <cellStyle name="Normal 44 3" xfId="1274" xr:uid="{00000000-0005-0000-0000-0000EF030000}"/>
    <cellStyle name="Normal 44 3 2" xfId="1277" xr:uid="{4E8A90FE-5224-4319-A507-CC71D48250EC}"/>
    <cellStyle name="Normal 44 4" xfId="1327" xr:uid="{FE4CC524-D5E0-4FE5-8737-A15E9590904B}"/>
    <cellStyle name="Normal 45" xfId="1275" xr:uid="{00000000-0005-0000-0000-000029050000}"/>
    <cellStyle name="Normal 5" xfId="14" xr:uid="{00000000-0005-0000-0000-0000F0030000}"/>
    <cellStyle name="Normal 5 2" xfId="257" xr:uid="{00000000-0005-0000-0000-0000F1030000}"/>
    <cellStyle name="Normal 5 2 2" xfId="258" xr:uid="{00000000-0005-0000-0000-0000F2030000}"/>
    <cellStyle name="Normal 5 2 2 2" xfId="356" xr:uid="{00000000-0005-0000-0000-0000F3030000}"/>
    <cellStyle name="Normal 5 2 3" xfId="355" xr:uid="{00000000-0005-0000-0000-0000F4030000}"/>
    <cellStyle name="Normal 5 3" xfId="259" xr:uid="{00000000-0005-0000-0000-0000F5030000}"/>
    <cellStyle name="Normal 5 3 2" xfId="357" xr:uid="{00000000-0005-0000-0000-0000F6030000}"/>
    <cellStyle name="Normal 5 4" xfId="256" xr:uid="{00000000-0005-0000-0000-0000F7030000}"/>
    <cellStyle name="Normal 6" xfId="11" xr:uid="{00000000-0005-0000-0000-0000F8030000}"/>
    <cellStyle name="Normal 6 10" xfId="785" xr:uid="{00000000-0005-0000-0000-0000F9030000}"/>
    <cellStyle name="Normal 6 11" xfId="1227" xr:uid="{00000000-0005-0000-0000-0000FA030000}"/>
    <cellStyle name="Normal 6 12" xfId="1282" xr:uid="{6AB9F0DF-502A-45E0-8844-3D19A5B6A5C1}"/>
    <cellStyle name="Normal 6 2" xfId="261" xr:uid="{00000000-0005-0000-0000-0000FB030000}"/>
    <cellStyle name="Normal 6 3" xfId="260" xr:uid="{00000000-0005-0000-0000-0000FC030000}"/>
    <cellStyle name="Normal 6 4" xfId="373" xr:uid="{00000000-0005-0000-0000-0000FD030000}"/>
    <cellStyle name="Normal 6 4 2" xfId="414" xr:uid="{00000000-0005-0000-0000-0000FE030000}"/>
    <cellStyle name="Normal 6 4 2 2" xfId="530" xr:uid="{00000000-0005-0000-0000-0000FF030000}"/>
    <cellStyle name="Normal 6 4 2 2 2" xfId="741" xr:uid="{00000000-0005-0000-0000-000000040000}"/>
    <cellStyle name="Normal 6 4 2 2 2 2" xfId="1180" xr:uid="{00000000-0005-0000-0000-000001040000}"/>
    <cellStyle name="Normal 6 4 2 2 3" xfId="969" xr:uid="{00000000-0005-0000-0000-000002040000}"/>
    <cellStyle name="Normal 6 4 2 3" xfId="629" xr:uid="{00000000-0005-0000-0000-000003040000}"/>
    <cellStyle name="Normal 6 4 2 3 2" xfId="1068" xr:uid="{00000000-0005-0000-0000-000004040000}"/>
    <cellStyle name="Normal 6 4 2 4" xfId="856" xr:uid="{00000000-0005-0000-0000-000005040000}"/>
    <cellStyle name="Normal 6 4 3" xfId="490" xr:uid="{00000000-0005-0000-0000-000006040000}"/>
    <cellStyle name="Normal 6 4 3 2" xfId="701" xr:uid="{00000000-0005-0000-0000-000007040000}"/>
    <cellStyle name="Normal 6 4 3 2 2" xfId="1140" xr:uid="{00000000-0005-0000-0000-000008040000}"/>
    <cellStyle name="Normal 6 4 3 3" xfId="929" xr:uid="{00000000-0005-0000-0000-000009040000}"/>
    <cellStyle name="Normal 6 4 4" xfId="589" xr:uid="{00000000-0005-0000-0000-00000A040000}"/>
    <cellStyle name="Normal 6 4 4 2" xfId="1028" xr:uid="{00000000-0005-0000-0000-00000B040000}"/>
    <cellStyle name="Normal 6 4 5" xfId="815" xr:uid="{00000000-0005-0000-0000-00000C040000}"/>
    <cellStyle name="Normal 6 4 6" xfId="1250" xr:uid="{00000000-0005-0000-0000-00000D040000}"/>
    <cellStyle name="Normal 6 4 7" xfId="1306" xr:uid="{883A305F-B193-4C84-AC0B-946F3E7729FB}"/>
    <cellStyle name="Normal 6 5" xfId="397" xr:uid="{00000000-0005-0000-0000-00000E040000}"/>
    <cellStyle name="Normal 6 5 2" xfId="513" xr:uid="{00000000-0005-0000-0000-00000F040000}"/>
    <cellStyle name="Normal 6 5 2 2" xfId="724" xr:uid="{00000000-0005-0000-0000-000010040000}"/>
    <cellStyle name="Normal 6 5 2 2 2" xfId="1163" xr:uid="{00000000-0005-0000-0000-000011040000}"/>
    <cellStyle name="Normal 6 5 2 3" xfId="952" xr:uid="{00000000-0005-0000-0000-000012040000}"/>
    <cellStyle name="Normal 6 5 3" xfId="612" xr:uid="{00000000-0005-0000-0000-000013040000}"/>
    <cellStyle name="Normal 6 5 3 2" xfId="1051" xr:uid="{00000000-0005-0000-0000-000014040000}"/>
    <cellStyle name="Normal 6 5 4" xfId="839" xr:uid="{00000000-0005-0000-0000-000015040000}"/>
    <cellStyle name="Normal 6 6" xfId="434" xr:uid="{00000000-0005-0000-0000-000016040000}"/>
    <cellStyle name="Normal 6 6 2" xfId="550" xr:uid="{00000000-0005-0000-0000-000017040000}"/>
    <cellStyle name="Normal 6 6 2 2" xfId="761" xr:uid="{00000000-0005-0000-0000-000018040000}"/>
    <cellStyle name="Normal 6 6 2 2 2" xfId="1200" xr:uid="{00000000-0005-0000-0000-000019040000}"/>
    <cellStyle name="Normal 6 6 2 3" xfId="989" xr:uid="{00000000-0005-0000-0000-00001A040000}"/>
    <cellStyle name="Normal 6 6 3" xfId="649" xr:uid="{00000000-0005-0000-0000-00001B040000}"/>
    <cellStyle name="Normal 6 6 3 2" xfId="1088" xr:uid="{00000000-0005-0000-0000-00001C040000}"/>
    <cellStyle name="Normal 6 6 4" xfId="876" xr:uid="{00000000-0005-0000-0000-00001D040000}"/>
    <cellStyle name="Normal 6 7" xfId="444" xr:uid="{00000000-0005-0000-0000-00001E040000}"/>
    <cellStyle name="Normal 6 7 2" xfId="560" xr:uid="{00000000-0005-0000-0000-00001F040000}"/>
    <cellStyle name="Normal 6 7 2 2" xfId="771" xr:uid="{00000000-0005-0000-0000-000020040000}"/>
    <cellStyle name="Normal 6 7 2 2 2" xfId="1210" xr:uid="{00000000-0005-0000-0000-000021040000}"/>
    <cellStyle name="Normal 6 7 2 3" xfId="999" xr:uid="{00000000-0005-0000-0000-000022040000}"/>
    <cellStyle name="Normal 6 7 3" xfId="659" xr:uid="{00000000-0005-0000-0000-000023040000}"/>
    <cellStyle name="Normal 6 7 3 2" xfId="1098" xr:uid="{00000000-0005-0000-0000-000024040000}"/>
    <cellStyle name="Normal 6 7 4" xfId="886" xr:uid="{00000000-0005-0000-0000-000025040000}"/>
    <cellStyle name="Normal 6 8" xfId="472" xr:uid="{00000000-0005-0000-0000-000026040000}"/>
    <cellStyle name="Normal 6 8 2" xfId="684" xr:uid="{00000000-0005-0000-0000-000027040000}"/>
    <cellStyle name="Normal 6 8 2 2" xfId="1123" xr:uid="{00000000-0005-0000-0000-000028040000}"/>
    <cellStyle name="Normal 6 8 3" xfId="912" xr:uid="{00000000-0005-0000-0000-000029040000}"/>
    <cellStyle name="Normal 6 9" xfId="572" xr:uid="{00000000-0005-0000-0000-00002A040000}"/>
    <cellStyle name="Normal 6 9 2" xfId="1011" xr:uid="{00000000-0005-0000-0000-00002B040000}"/>
    <cellStyle name="Normal 7" xfId="262" xr:uid="{00000000-0005-0000-0000-00002C040000}"/>
    <cellStyle name="Normal 7 2" xfId="263" xr:uid="{00000000-0005-0000-0000-00002D040000}"/>
    <cellStyle name="Normal 7 2 2" xfId="264" xr:uid="{00000000-0005-0000-0000-00002E040000}"/>
    <cellStyle name="Normal 7 2 2 2" xfId="360" xr:uid="{00000000-0005-0000-0000-00002F040000}"/>
    <cellStyle name="Normal 7 2 3" xfId="359" xr:uid="{00000000-0005-0000-0000-000030040000}"/>
    <cellStyle name="Normal 7 3" xfId="265" xr:uid="{00000000-0005-0000-0000-000031040000}"/>
    <cellStyle name="Normal 7 3 2" xfId="361" xr:uid="{00000000-0005-0000-0000-000032040000}"/>
    <cellStyle name="Normal 7 4" xfId="358" xr:uid="{00000000-0005-0000-0000-000033040000}"/>
    <cellStyle name="Normal 8" xfId="266" xr:uid="{00000000-0005-0000-0000-000034040000}"/>
    <cellStyle name="Normal 8 2" xfId="267" xr:uid="{00000000-0005-0000-0000-000035040000}"/>
    <cellStyle name="Normal 8 3" xfId="268" xr:uid="{00000000-0005-0000-0000-000036040000}"/>
    <cellStyle name="Normal 8 3 2" xfId="269" xr:uid="{00000000-0005-0000-0000-000037040000}"/>
    <cellStyle name="Normal 8 3 2 2" xfId="364" xr:uid="{00000000-0005-0000-0000-000038040000}"/>
    <cellStyle name="Normal 8 3 3" xfId="363" xr:uid="{00000000-0005-0000-0000-000039040000}"/>
    <cellStyle name="Normal 8 4" xfId="270" xr:uid="{00000000-0005-0000-0000-00003A040000}"/>
    <cellStyle name="Normal 8 4 2" xfId="365" xr:uid="{00000000-0005-0000-0000-00003B040000}"/>
    <cellStyle name="Normal 8 5" xfId="362" xr:uid="{00000000-0005-0000-0000-00003C040000}"/>
    <cellStyle name="Normal 9" xfId="271" xr:uid="{00000000-0005-0000-0000-00003D040000}"/>
    <cellStyle name="Note 10" xfId="272" xr:uid="{00000000-0005-0000-0000-00003E040000}"/>
    <cellStyle name="Note 10 2" xfId="273" xr:uid="{00000000-0005-0000-0000-00003F040000}"/>
    <cellStyle name="Note 11" xfId="274" xr:uid="{00000000-0005-0000-0000-000040040000}"/>
    <cellStyle name="Note 11 2" xfId="275" xr:uid="{00000000-0005-0000-0000-000041040000}"/>
    <cellStyle name="Note 12" xfId="276" xr:uid="{00000000-0005-0000-0000-000042040000}"/>
    <cellStyle name="Note 12 2" xfId="277" xr:uid="{00000000-0005-0000-0000-000043040000}"/>
    <cellStyle name="Note 13" xfId="278" xr:uid="{00000000-0005-0000-0000-000044040000}"/>
    <cellStyle name="Note 13 2" xfId="279" xr:uid="{00000000-0005-0000-0000-000045040000}"/>
    <cellStyle name="Note 14" xfId="280" xr:uid="{00000000-0005-0000-0000-000046040000}"/>
    <cellStyle name="Note 14 2" xfId="281" xr:uid="{00000000-0005-0000-0000-000047040000}"/>
    <cellStyle name="Note 15" xfId="282" xr:uid="{00000000-0005-0000-0000-000048040000}"/>
    <cellStyle name="Note 16" xfId="283" xr:uid="{00000000-0005-0000-0000-000049040000}"/>
    <cellStyle name="Note 17" xfId="284" xr:uid="{00000000-0005-0000-0000-00004A040000}"/>
    <cellStyle name="Note 18" xfId="285" xr:uid="{00000000-0005-0000-0000-00004B040000}"/>
    <cellStyle name="Note 2" xfId="286" xr:uid="{00000000-0005-0000-0000-00004C040000}"/>
    <cellStyle name="Note 2 2" xfId="287" xr:uid="{00000000-0005-0000-0000-00004D040000}"/>
    <cellStyle name="Note 2 3" xfId="288" xr:uid="{00000000-0005-0000-0000-00004E040000}"/>
    <cellStyle name="Note 3" xfId="289" xr:uid="{00000000-0005-0000-0000-00004F040000}"/>
    <cellStyle name="Note 3 2" xfId="290" xr:uid="{00000000-0005-0000-0000-000050040000}"/>
    <cellStyle name="Note 4" xfId="291" xr:uid="{00000000-0005-0000-0000-000051040000}"/>
    <cellStyle name="Note 4 2" xfId="292" xr:uid="{00000000-0005-0000-0000-000052040000}"/>
    <cellStyle name="Note 5" xfId="293" xr:uid="{00000000-0005-0000-0000-000053040000}"/>
    <cellStyle name="Note 5 2" xfId="294" xr:uid="{00000000-0005-0000-0000-000054040000}"/>
    <cellStyle name="Note 6" xfId="295" xr:uid="{00000000-0005-0000-0000-000055040000}"/>
    <cellStyle name="Note 6 2" xfId="296" xr:uid="{00000000-0005-0000-0000-000056040000}"/>
    <cellStyle name="Note 7" xfId="297" xr:uid="{00000000-0005-0000-0000-000057040000}"/>
    <cellStyle name="Note 7 2" xfId="298" xr:uid="{00000000-0005-0000-0000-000058040000}"/>
    <cellStyle name="Note 8" xfId="299" xr:uid="{00000000-0005-0000-0000-000059040000}"/>
    <cellStyle name="Note 8 2" xfId="300" xr:uid="{00000000-0005-0000-0000-00005A040000}"/>
    <cellStyle name="Note 9" xfId="301" xr:uid="{00000000-0005-0000-0000-00005B040000}"/>
    <cellStyle name="Note 9 2" xfId="302" xr:uid="{00000000-0005-0000-0000-00005C040000}"/>
    <cellStyle name="Output 2" xfId="303" xr:uid="{00000000-0005-0000-0000-00005D040000}"/>
    <cellStyle name="Output 3" xfId="304" xr:uid="{00000000-0005-0000-0000-00005E040000}"/>
    <cellStyle name="Output 4" xfId="305" xr:uid="{00000000-0005-0000-0000-00005F040000}"/>
    <cellStyle name="Output 5" xfId="306" xr:uid="{00000000-0005-0000-0000-000060040000}"/>
    <cellStyle name="Output 6" xfId="307" xr:uid="{00000000-0005-0000-0000-000061040000}"/>
    <cellStyle name="Percent" xfId="1" builtinId="5"/>
    <cellStyle name="Percent 2" xfId="8" xr:uid="{00000000-0005-0000-0000-000063040000}"/>
    <cellStyle name="Percent 2 2" xfId="19" xr:uid="{00000000-0005-0000-0000-000064040000}"/>
    <cellStyle name="Percent 2 2 2" xfId="308" xr:uid="{00000000-0005-0000-0000-000065040000}"/>
    <cellStyle name="Percent 2 2 3" xfId="476" xr:uid="{00000000-0005-0000-0000-000066040000}"/>
    <cellStyle name="Percent 2 3" xfId="24" xr:uid="{00000000-0005-0000-0000-000067040000}"/>
    <cellStyle name="Percent 2 3 10" xfId="1291" xr:uid="{FB183D95-7D0A-43C3-93D4-3140865E4397}"/>
    <cellStyle name="Percent 2 3 2" xfId="381" xr:uid="{00000000-0005-0000-0000-000068040000}"/>
    <cellStyle name="Percent 2 3 2 2" xfId="422" xr:uid="{00000000-0005-0000-0000-000069040000}"/>
    <cellStyle name="Percent 2 3 2 2 2" xfId="538" xr:uid="{00000000-0005-0000-0000-00006A040000}"/>
    <cellStyle name="Percent 2 3 2 2 2 2" xfId="749" xr:uid="{00000000-0005-0000-0000-00006B040000}"/>
    <cellStyle name="Percent 2 3 2 2 2 2 2" xfId="1188" xr:uid="{00000000-0005-0000-0000-00006C040000}"/>
    <cellStyle name="Percent 2 3 2 2 2 3" xfId="977" xr:uid="{00000000-0005-0000-0000-00006D040000}"/>
    <cellStyle name="Percent 2 3 2 2 3" xfId="637" xr:uid="{00000000-0005-0000-0000-00006E040000}"/>
    <cellStyle name="Percent 2 3 2 2 3 2" xfId="1076" xr:uid="{00000000-0005-0000-0000-00006F040000}"/>
    <cellStyle name="Percent 2 3 2 2 4" xfId="864" xr:uid="{00000000-0005-0000-0000-000070040000}"/>
    <cellStyle name="Percent 2 3 2 3" xfId="498" xr:uid="{00000000-0005-0000-0000-000071040000}"/>
    <cellStyle name="Percent 2 3 2 3 2" xfId="709" xr:uid="{00000000-0005-0000-0000-000072040000}"/>
    <cellStyle name="Percent 2 3 2 3 2 2" xfId="1148" xr:uid="{00000000-0005-0000-0000-000073040000}"/>
    <cellStyle name="Percent 2 3 2 3 3" xfId="937" xr:uid="{00000000-0005-0000-0000-000074040000}"/>
    <cellStyle name="Percent 2 3 2 4" xfId="597" xr:uid="{00000000-0005-0000-0000-000075040000}"/>
    <cellStyle name="Percent 2 3 2 4 2" xfId="1036" xr:uid="{00000000-0005-0000-0000-000076040000}"/>
    <cellStyle name="Percent 2 3 2 5" xfId="823" xr:uid="{00000000-0005-0000-0000-000077040000}"/>
    <cellStyle name="Percent 2 3 2 6" xfId="1258" xr:uid="{00000000-0005-0000-0000-000078040000}"/>
    <cellStyle name="Percent 2 3 2 7" xfId="1314" xr:uid="{2E84452C-43D6-49C0-B03D-B8B80701200D}"/>
    <cellStyle name="Percent 2 3 3" xfId="405" xr:uid="{00000000-0005-0000-0000-000079040000}"/>
    <cellStyle name="Percent 2 3 3 2" xfId="521" xr:uid="{00000000-0005-0000-0000-00007A040000}"/>
    <cellStyle name="Percent 2 3 3 2 2" xfId="732" xr:uid="{00000000-0005-0000-0000-00007B040000}"/>
    <cellStyle name="Percent 2 3 3 2 2 2" xfId="1171" xr:uid="{00000000-0005-0000-0000-00007C040000}"/>
    <cellStyle name="Percent 2 3 3 2 3" xfId="960" xr:uid="{00000000-0005-0000-0000-00007D040000}"/>
    <cellStyle name="Percent 2 3 3 3" xfId="620" xr:uid="{00000000-0005-0000-0000-00007E040000}"/>
    <cellStyle name="Percent 2 3 3 3 2" xfId="1059" xr:uid="{00000000-0005-0000-0000-00007F040000}"/>
    <cellStyle name="Percent 2 3 3 4" xfId="847" xr:uid="{00000000-0005-0000-0000-000080040000}"/>
    <cellStyle name="Percent 2 3 4" xfId="443" xr:uid="{00000000-0005-0000-0000-000081040000}"/>
    <cellStyle name="Percent 2 3 4 2" xfId="559" xr:uid="{00000000-0005-0000-0000-000082040000}"/>
    <cellStyle name="Percent 2 3 4 2 2" xfId="770" xr:uid="{00000000-0005-0000-0000-000083040000}"/>
    <cellStyle name="Percent 2 3 4 2 2 2" xfId="1209" xr:uid="{00000000-0005-0000-0000-000084040000}"/>
    <cellStyle name="Percent 2 3 4 2 3" xfId="998" xr:uid="{00000000-0005-0000-0000-000085040000}"/>
    <cellStyle name="Percent 2 3 4 3" xfId="658" xr:uid="{00000000-0005-0000-0000-000086040000}"/>
    <cellStyle name="Percent 2 3 4 3 2" xfId="1097" xr:uid="{00000000-0005-0000-0000-000087040000}"/>
    <cellStyle name="Percent 2 3 4 4" xfId="885" xr:uid="{00000000-0005-0000-0000-000088040000}"/>
    <cellStyle name="Percent 2 3 5" xfId="453" xr:uid="{00000000-0005-0000-0000-000089040000}"/>
    <cellStyle name="Percent 2 3 5 2" xfId="569" xr:uid="{00000000-0005-0000-0000-00008A040000}"/>
    <cellStyle name="Percent 2 3 5 2 2" xfId="780" xr:uid="{00000000-0005-0000-0000-00008B040000}"/>
    <cellStyle name="Percent 2 3 5 2 2 2" xfId="1219" xr:uid="{00000000-0005-0000-0000-00008C040000}"/>
    <cellStyle name="Percent 2 3 5 2 3" xfId="1008" xr:uid="{00000000-0005-0000-0000-00008D040000}"/>
    <cellStyle name="Percent 2 3 5 3" xfId="668" xr:uid="{00000000-0005-0000-0000-00008E040000}"/>
    <cellStyle name="Percent 2 3 5 3 2" xfId="1107" xr:uid="{00000000-0005-0000-0000-00008F040000}"/>
    <cellStyle name="Percent 2 3 5 4" xfId="895" xr:uid="{00000000-0005-0000-0000-000090040000}"/>
    <cellStyle name="Percent 2 3 6" xfId="481" xr:uid="{00000000-0005-0000-0000-000091040000}"/>
    <cellStyle name="Percent 2 3 6 2" xfId="692" xr:uid="{00000000-0005-0000-0000-000092040000}"/>
    <cellStyle name="Percent 2 3 6 2 2" xfId="1131" xr:uid="{00000000-0005-0000-0000-000093040000}"/>
    <cellStyle name="Percent 2 3 6 3" xfId="920" xr:uid="{00000000-0005-0000-0000-000094040000}"/>
    <cellStyle name="Percent 2 3 7" xfId="580" xr:uid="{00000000-0005-0000-0000-000095040000}"/>
    <cellStyle name="Percent 2 3 7 2" xfId="1019" xr:uid="{00000000-0005-0000-0000-000096040000}"/>
    <cellStyle name="Percent 2 3 8" xfId="795" xr:uid="{00000000-0005-0000-0000-000097040000}"/>
    <cellStyle name="Percent 2 3 9" xfId="1236" xr:uid="{00000000-0005-0000-0000-000098040000}"/>
    <cellStyle name="Percent 2 4" xfId="459" xr:uid="{00000000-0005-0000-0000-000099040000}"/>
    <cellStyle name="Percent 2 4 2" xfId="674" xr:uid="{00000000-0005-0000-0000-00009A040000}"/>
    <cellStyle name="Percent 2 4 2 2" xfId="1113" xr:uid="{00000000-0005-0000-0000-00009B040000}"/>
    <cellStyle name="Percent 2 4 3" xfId="901" xr:uid="{00000000-0005-0000-0000-00009C040000}"/>
    <cellStyle name="Percent 2 5" xfId="469" xr:uid="{00000000-0005-0000-0000-00009D040000}"/>
    <cellStyle name="Percent 20" xfId="309" xr:uid="{00000000-0005-0000-0000-00009E040000}"/>
    <cellStyle name="Percent 21" xfId="310" xr:uid="{00000000-0005-0000-0000-00009F040000}"/>
    <cellStyle name="Percent 22" xfId="311" xr:uid="{00000000-0005-0000-0000-0000A0040000}"/>
    <cellStyle name="Percent 23" xfId="312" xr:uid="{00000000-0005-0000-0000-0000A1040000}"/>
    <cellStyle name="Percent 24" xfId="313" xr:uid="{00000000-0005-0000-0000-0000A2040000}"/>
    <cellStyle name="Percent 25" xfId="314" xr:uid="{00000000-0005-0000-0000-0000A3040000}"/>
    <cellStyle name="Percent 3" xfId="315" xr:uid="{00000000-0005-0000-0000-0000A4040000}"/>
    <cellStyle name="Percent 3 2" xfId="316" xr:uid="{00000000-0005-0000-0000-0000A5040000}"/>
    <cellStyle name="Percent 3 2 2" xfId="367" xr:uid="{00000000-0005-0000-0000-0000A6040000}"/>
    <cellStyle name="Percent 3 3" xfId="366" xr:uid="{00000000-0005-0000-0000-0000A7040000}"/>
    <cellStyle name="Percent 4" xfId="317" xr:uid="{00000000-0005-0000-0000-0000A8040000}"/>
    <cellStyle name="Percent 4 2" xfId="318" xr:uid="{00000000-0005-0000-0000-0000A9040000}"/>
    <cellStyle name="Percent 4 2 2" xfId="369" xr:uid="{00000000-0005-0000-0000-0000AA040000}"/>
    <cellStyle name="Percent 4 3" xfId="368" xr:uid="{00000000-0005-0000-0000-0000AB040000}"/>
    <cellStyle name="Percent 5" xfId="319" xr:uid="{00000000-0005-0000-0000-0000AC040000}"/>
    <cellStyle name="Percent 6" xfId="320" xr:uid="{00000000-0005-0000-0000-0000AD040000}"/>
    <cellStyle name="Percent 7" xfId="321" xr:uid="{00000000-0005-0000-0000-0000AE040000}"/>
    <cellStyle name="Percent 8" xfId="22" xr:uid="{00000000-0005-0000-0000-0000AF040000}"/>
    <cellStyle name="Percent 8 10" xfId="793" xr:uid="{00000000-0005-0000-0000-0000B0040000}"/>
    <cellStyle name="Percent 8 11" xfId="1234" xr:uid="{00000000-0005-0000-0000-0000B1040000}"/>
    <cellStyle name="Percent 8 12" xfId="1289" xr:uid="{8A0FEEFF-CD4D-4B2E-B753-C5CA91DCB040}"/>
    <cellStyle name="Percent 8 2" xfId="342" xr:uid="{00000000-0005-0000-0000-0000B2040000}"/>
    <cellStyle name="Percent 8 3" xfId="379" xr:uid="{00000000-0005-0000-0000-0000B3040000}"/>
    <cellStyle name="Percent 8 3 2" xfId="420" xr:uid="{00000000-0005-0000-0000-0000B4040000}"/>
    <cellStyle name="Percent 8 3 2 2" xfId="536" xr:uid="{00000000-0005-0000-0000-0000B5040000}"/>
    <cellStyle name="Percent 8 3 2 2 2" xfId="747" xr:uid="{00000000-0005-0000-0000-0000B6040000}"/>
    <cellStyle name="Percent 8 3 2 2 2 2" xfId="1186" xr:uid="{00000000-0005-0000-0000-0000B7040000}"/>
    <cellStyle name="Percent 8 3 2 2 3" xfId="975" xr:uid="{00000000-0005-0000-0000-0000B8040000}"/>
    <cellStyle name="Percent 8 3 2 3" xfId="635" xr:uid="{00000000-0005-0000-0000-0000B9040000}"/>
    <cellStyle name="Percent 8 3 2 3 2" xfId="1074" xr:uid="{00000000-0005-0000-0000-0000BA040000}"/>
    <cellStyle name="Percent 8 3 2 4" xfId="862" xr:uid="{00000000-0005-0000-0000-0000BB040000}"/>
    <cellStyle name="Percent 8 3 3" xfId="496" xr:uid="{00000000-0005-0000-0000-0000BC040000}"/>
    <cellStyle name="Percent 8 3 3 2" xfId="707" xr:uid="{00000000-0005-0000-0000-0000BD040000}"/>
    <cellStyle name="Percent 8 3 3 2 2" xfId="1146" xr:uid="{00000000-0005-0000-0000-0000BE040000}"/>
    <cellStyle name="Percent 8 3 3 3" xfId="935" xr:uid="{00000000-0005-0000-0000-0000BF040000}"/>
    <cellStyle name="Percent 8 3 4" xfId="595" xr:uid="{00000000-0005-0000-0000-0000C0040000}"/>
    <cellStyle name="Percent 8 3 4 2" xfId="1034" xr:uid="{00000000-0005-0000-0000-0000C1040000}"/>
    <cellStyle name="Percent 8 3 5" xfId="821" xr:uid="{00000000-0005-0000-0000-0000C2040000}"/>
    <cellStyle name="Percent 8 3 6" xfId="1256" xr:uid="{00000000-0005-0000-0000-0000C3040000}"/>
    <cellStyle name="Percent 8 3 7" xfId="1312" xr:uid="{A602199C-53D1-4F2C-BDFA-4680095655AE}"/>
    <cellStyle name="Percent 8 4" xfId="403" xr:uid="{00000000-0005-0000-0000-0000C4040000}"/>
    <cellStyle name="Percent 8 4 2" xfId="519" xr:uid="{00000000-0005-0000-0000-0000C5040000}"/>
    <cellStyle name="Percent 8 4 2 2" xfId="730" xr:uid="{00000000-0005-0000-0000-0000C6040000}"/>
    <cellStyle name="Percent 8 4 2 2 2" xfId="1169" xr:uid="{00000000-0005-0000-0000-0000C7040000}"/>
    <cellStyle name="Percent 8 4 2 3" xfId="958" xr:uid="{00000000-0005-0000-0000-0000C8040000}"/>
    <cellStyle name="Percent 8 4 3" xfId="618" xr:uid="{00000000-0005-0000-0000-0000C9040000}"/>
    <cellStyle name="Percent 8 4 3 2" xfId="1057" xr:uid="{00000000-0005-0000-0000-0000CA040000}"/>
    <cellStyle name="Percent 8 4 4" xfId="845" xr:uid="{00000000-0005-0000-0000-0000CB040000}"/>
    <cellStyle name="Percent 8 5" xfId="441" xr:uid="{00000000-0005-0000-0000-0000CC040000}"/>
    <cellStyle name="Percent 8 5 2" xfId="557" xr:uid="{00000000-0005-0000-0000-0000CD040000}"/>
    <cellStyle name="Percent 8 5 2 2" xfId="768" xr:uid="{00000000-0005-0000-0000-0000CE040000}"/>
    <cellStyle name="Percent 8 5 2 2 2" xfId="1207" xr:uid="{00000000-0005-0000-0000-0000CF040000}"/>
    <cellStyle name="Percent 8 5 2 3" xfId="996" xr:uid="{00000000-0005-0000-0000-0000D0040000}"/>
    <cellStyle name="Percent 8 5 3" xfId="656" xr:uid="{00000000-0005-0000-0000-0000D1040000}"/>
    <cellStyle name="Percent 8 5 3 2" xfId="1095" xr:uid="{00000000-0005-0000-0000-0000D2040000}"/>
    <cellStyle name="Percent 8 5 4" xfId="883" xr:uid="{00000000-0005-0000-0000-0000D3040000}"/>
    <cellStyle name="Percent 8 6" xfId="451" xr:uid="{00000000-0005-0000-0000-0000D4040000}"/>
    <cellStyle name="Percent 8 6 2" xfId="567" xr:uid="{00000000-0005-0000-0000-0000D5040000}"/>
    <cellStyle name="Percent 8 6 2 2" xfId="778" xr:uid="{00000000-0005-0000-0000-0000D6040000}"/>
    <cellStyle name="Percent 8 6 2 2 2" xfId="1217" xr:uid="{00000000-0005-0000-0000-0000D7040000}"/>
    <cellStyle name="Percent 8 6 2 3" xfId="1006" xr:uid="{00000000-0005-0000-0000-0000D8040000}"/>
    <cellStyle name="Percent 8 6 3" xfId="666" xr:uid="{00000000-0005-0000-0000-0000D9040000}"/>
    <cellStyle name="Percent 8 6 3 2" xfId="1105" xr:uid="{00000000-0005-0000-0000-0000DA040000}"/>
    <cellStyle name="Percent 8 6 4" xfId="893" xr:uid="{00000000-0005-0000-0000-0000DB040000}"/>
    <cellStyle name="Percent 8 7" xfId="457" xr:uid="{00000000-0005-0000-0000-0000DC040000}"/>
    <cellStyle name="Percent 8 7 2" xfId="672" xr:uid="{00000000-0005-0000-0000-0000DD040000}"/>
    <cellStyle name="Percent 8 7 2 2" xfId="1111" xr:uid="{00000000-0005-0000-0000-0000DE040000}"/>
    <cellStyle name="Percent 8 7 3" xfId="899" xr:uid="{00000000-0005-0000-0000-0000DF040000}"/>
    <cellStyle name="Percent 8 8" xfId="479" xr:uid="{00000000-0005-0000-0000-0000E0040000}"/>
    <cellStyle name="Percent 8 8 2" xfId="690" xr:uid="{00000000-0005-0000-0000-0000E1040000}"/>
    <cellStyle name="Percent 8 8 2 2" xfId="1129" xr:uid="{00000000-0005-0000-0000-0000E2040000}"/>
    <cellStyle name="Percent 8 8 3" xfId="918" xr:uid="{00000000-0005-0000-0000-0000E3040000}"/>
    <cellStyle name="Percent 8 9" xfId="578" xr:uid="{00000000-0005-0000-0000-0000E4040000}"/>
    <cellStyle name="Percent 8 9 2" xfId="1017" xr:uid="{00000000-0005-0000-0000-0000E5040000}"/>
    <cellStyle name="Percent 9" xfId="345" xr:uid="{00000000-0005-0000-0000-0000E6040000}"/>
    <cellStyle name="Percent 9 2" xfId="370" xr:uid="{00000000-0005-0000-0000-0000E7040000}"/>
    <cellStyle name="Procent 2" xfId="322" xr:uid="{00000000-0005-0000-0000-0000E8040000}"/>
    <cellStyle name="ReportData" xfId="323" xr:uid="{00000000-0005-0000-0000-0000E9040000}"/>
    <cellStyle name="Title 2" xfId="324" xr:uid="{00000000-0005-0000-0000-0000EA040000}"/>
    <cellStyle name="Title 3" xfId="325" xr:uid="{00000000-0005-0000-0000-0000EB040000}"/>
    <cellStyle name="Title 4" xfId="326" xr:uid="{00000000-0005-0000-0000-0000EC040000}"/>
    <cellStyle name="Title 5" xfId="327" xr:uid="{00000000-0005-0000-0000-0000ED040000}"/>
    <cellStyle name="Title 6" xfId="328" xr:uid="{00000000-0005-0000-0000-0000EE040000}"/>
    <cellStyle name="Total 2" xfId="329" xr:uid="{00000000-0005-0000-0000-0000EF040000}"/>
    <cellStyle name="Total 3" xfId="330" xr:uid="{00000000-0005-0000-0000-0000F0040000}"/>
    <cellStyle name="Total 4" xfId="331" xr:uid="{00000000-0005-0000-0000-0000F1040000}"/>
    <cellStyle name="Total 5" xfId="332" xr:uid="{00000000-0005-0000-0000-0000F2040000}"/>
    <cellStyle name="Total 6" xfId="333" xr:uid="{00000000-0005-0000-0000-0000F3040000}"/>
    <cellStyle name="Tusental (0)_SystemDel" xfId="334" xr:uid="{00000000-0005-0000-0000-0000F4040000}"/>
    <cellStyle name="Valuta (0)_SystemDel" xfId="335" xr:uid="{00000000-0005-0000-0000-0000F5040000}"/>
    <cellStyle name="Warning Text 2" xfId="336" xr:uid="{00000000-0005-0000-0000-0000F6040000}"/>
    <cellStyle name="Warning Text 3" xfId="337" xr:uid="{00000000-0005-0000-0000-0000F7040000}"/>
    <cellStyle name="Warning Text 4" xfId="338" xr:uid="{00000000-0005-0000-0000-0000F8040000}"/>
    <cellStyle name="Warning Text 5" xfId="339" xr:uid="{00000000-0005-0000-0000-0000F9040000}"/>
    <cellStyle name="Warning Text 6" xfId="340" xr:uid="{00000000-0005-0000-0000-0000FA040000}"/>
  </cellStyles>
  <dxfs count="301"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2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border outline="0"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178"/>
        <scheme val="minor"/>
      </font>
      <fill>
        <patternFill patternType="solid">
          <fgColor indexed="64"/>
          <bgColor rgb="FF004B96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2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border outline="0"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178"/>
        <scheme val="minor"/>
      </font>
      <fill>
        <patternFill patternType="solid">
          <fgColor indexed="64"/>
          <bgColor rgb="FF004B96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2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border outline="0"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178"/>
        <scheme val="minor"/>
      </font>
      <fill>
        <patternFill patternType="solid">
          <fgColor indexed="64"/>
          <bgColor rgb="FF004B96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2" formatCode="0.00"/>
      <fill>
        <patternFill patternType="solid">
          <fgColor indexed="64"/>
          <bgColor rgb="FFF2F2F2"/>
        </patternFill>
      </fill>
      <alignment horizontal="center" vertical="center" textRotation="0" wrapText="0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2" formatCode="0.00"/>
      <fill>
        <patternFill patternType="solid">
          <fgColor indexed="64"/>
          <bgColor rgb="FFF2F2F2"/>
        </patternFill>
      </fill>
      <alignment horizontal="center" vertical="center" textRotation="0" wrapText="0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2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border outline="0"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178"/>
        <scheme val="minor"/>
      </font>
      <fill>
        <patternFill patternType="solid">
          <fgColor indexed="64"/>
          <bgColor rgb="FF004B96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0" indent="0" justifyLastLine="0" shrinkToFit="0" readingOrder="2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0" indent="0" justifyLastLine="0" shrinkToFit="0" readingOrder="2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0" indent="0" justifyLastLine="0" shrinkToFit="0" readingOrder="2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0" indent="0" justifyLastLine="0" shrinkToFit="0" readingOrder="2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0" indent="0" justifyLastLine="0" shrinkToFit="0" readingOrder="2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0" indent="0" justifyLastLine="0" shrinkToFit="0" readingOrder="2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0" indent="0" justifyLastLine="0" shrinkToFit="0" readingOrder="2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0" indent="0" justifyLastLine="0" shrinkToFit="0" readingOrder="2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0" indent="0" justifyLastLine="0" shrinkToFit="0" readingOrder="2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0" indent="0" justifyLastLine="0" shrinkToFit="0" readingOrder="2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0" indent="0" justifyLastLine="0" shrinkToFit="0" readingOrder="2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0" indent="0" justifyLastLine="0" shrinkToFit="0" readingOrder="2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0" indent="0" justifyLastLine="0" shrinkToFit="0" readingOrder="2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0" indent="0" justifyLastLine="0" shrinkToFit="0" readingOrder="2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0" indent="0" justifyLastLine="0" shrinkToFit="0" readingOrder="2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0" indent="0" justifyLastLine="0" shrinkToFit="0" readingOrder="2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0" indent="0" justifyLastLine="0" shrinkToFit="0" readingOrder="2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2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minor"/>
      </font>
      <fill>
        <patternFill patternType="solid">
          <fgColor indexed="64"/>
          <bgColor rgb="FF004B96"/>
        </patternFill>
      </fill>
      <alignment horizontal="center" vertical="center" textRotation="0" wrapText="1" indent="0" justifyLastLine="0" shrinkToFit="0" readingOrder="1"/>
      <border diagonalUp="0" diagonalDown="0" outline="0">
        <left style="medium">
          <color rgb="FFFFFFFF"/>
        </left>
        <right style="medium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right" vertical="center" textRotation="0" wrapText="1" indent="0" justifyLastLine="0" shrinkToFit="0" readingOrder="2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border outline="0">
        <top style="medium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178"/>
        <scheme val="minor"/>
      </font>
      <fill>
        <patternFill patternType="solid">
          <fgColor indexed="64"/>
          <bgColor rgb="FF004B96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178"/>
        <scheme val="minor"/>
      </font>
      <fill>
        <patternFill patternType="solid">
          <fgColor indexed="64"/>
          <bgColor rgb="FF004B96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0"/>
        </left>
        <right/>
        <top style="medium">
          <color theme="0"/>
        </top>
        <bottom/>
        <vertical/>
        <horizontal/>
      </border>
    </dxf>
    <dxf>
      <border outline="0">
        <top style="medium">
          <color theme="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178"/>
        <scheme val="minor"/>
      </font>
      <fill>
        <patternFill patternType="solid">
          <fgColor indexed="64"/>
          <bgColor rgb="FF004B96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178"/>
        <scheme val="minor"/>
      </font>
      <fill>
        <patternFill patternType="solid">
          <fgColor indexed="64"/>
          <bgColor rgb="FF004B96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0"/>
        </left>
        <right/>
        <top style="medium">
          <color theme="0"/>
        </top>
        <bottom/>
        <vertical/>
        <horizontal/>
      </border>
    </dxf>
    <dxf>
      <border outline="0">
        <top style="medium">
          <color theme="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178"/>
        <scheme val="minor"/>
      </font>
      <fill>
        <patternFill patternType="solid">
          <fgColor indexed="64"/>
          <bgColor rgb="FF004B96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178"/>
        <scheme val="minor"/>
      </font>
      <fill>
        <patternFill patternType="solid">
          <fgColor indexed="64"/>
          <bgColor rgb="FF004B96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0"/>
        </left>
        <right/>
        <top style="medium">
          <color theme="0"/>
        </top>
        <bottom/>
        <vertical/>
        <horizontal/>
      </border>
    </dxf>
    <dxf>
      <border outline="0">
        <top style="medium">
          <color theme="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178"/>
        <scheme val="minor"/>
      </font>
      <fill>
        <patternFill patternType="solid">
          <fgColor indexed="64"/>
          <bgColor rgb="FF004B96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178"/>
        <scheme val="minor"/>
      </font>
      <fill>
        <patternFill patternType="solid">
          <fgColor indexed="64"/>
          <bgColor rgb="FF004B96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0"/>
        </left>
        <right/>
        <top style="medium">
          <color theme="0"/>
        </top>
        <bottom/>
        <vertical/>
        <horizontal/>
      </border>
    </dxf>
    <dxf>
      <border outline="0">
        <top style="medium">
          <color theme="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178"/>
        <scheme val="minor"/>
      </font>
      <fill>
        <patternFill patternType="solid">
          <fgColor indexed="64"/>
          <bgColor rgb="FF004B96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178"/>
        <scheme val="minor"/>
      </font>
      <fill>
        <patternFill patternType="solid">
          <fgColor indexed="64"/>
          <bgColor rgb="FF004B96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/>
        </left>
        <right/>
        <top style="medium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178"/>
        <scheme val="minor"/>
      </font>
      <fill>
        <patternFill patternType="solid">
          <fgColor indexed="64"/>
          <bgColor rgb="FF004B96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0"/>
        </left>
        <right/>
        <top style="medium">
          <color theme="0"/>
        </top>
        <bottom/>
        <vertical/>
        <horizontal/>
      </border>
    </dxf>
    <dxf>
      <border outline="0">
        <top style="medium">
          <color theme="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178"/>
        <scheme val="minor"/>
      </font>
      <fill>
        <patternFill patternType="solid">
          <fgColor indexed="64"/>
          <bgColor rgb="FF004B96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178"/>
        <scheme val="minor"/>
      </font>
      <numFmt numFmtId="4" formatCode="#,##0.00"/>
      <fill>
        <patternFill patternType="solid">
          <fgColor indexed="64"/>
          <bgColor rgb="FF004B96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0"/>
        </left>
        <right/>
        <top style="medium">
          <color theme="0"/>
        </top>
        <bottom/>
        <vertical/>
        <horizontal/>
      </border>
    </dxf>
    <dxf>
      <border outline="0">
        <top style="medium">
          <color theme="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178"/>
        <scheme val="minor"/>
      </font>
      <fill>
        <patternFill patternType="solid">
          <fgColor indexed="64"/>
          <bgColor rgb="FF004B96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178"/>
        <scheme val="minor"/>
      </font>
      <fill>
        <patternFill patternType="solid">
          <fgColor indexed="64"/>
          <bgColor rgb="FF004B96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0"/>
        </left>
        <right/>
        <top style="medium">
          <color theme="0"/>
        </top>
        <bottom/>
        <vertical/>
        <horizontal/>
      </border>
    </dxf>
    <dxf>
      <border outline="0">
        <top style="medium">
          <color theme="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178"/>
        <scheme val="minor"/>
      </font>
      <fill>
        <patternFill patternType="solid">
          <fgColor indexed="64"/>
          <bgColor rgb="FF004B96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178"/>
        <scheme val="minor"/>
      </font>
      <fill>
        <patternFill patternType="solid">
          <fgColor indexed="64"/>
          <bgColor rgb="FF004B96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0"/>
        </left>
        <right/>
        <top style="medium">
          <color theme="0"/>
        </top>
        <bottom/>
        <vertical/>
        <horizontal/>
      </border>
    </dxf>
    <dxf>
      <border outline="0">
        <top style="medium">
          <color theme="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178"/>
        <scheme val="minor"/>
      </font>
      <fill>
        <patternFill patternType="solid">
          <fgColor indexed="64"/>
          <bgColor rgb="FF004B96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178"/>
        <scheme val="minor"/>
      </font>
      <fill>
        <patternFill patternType="solid">
          <fgColor indexed="64"/>
          <bgColor rgb="FF004B96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0"/>
        </left>
        <right/>
        <top style="medium">
          <color theme="0"/>
        </top>
        <bottom/>
        <vertical/>
        <horizontal/>
      </border>
    </dxf>
    <dxf>
      <border outline="0">
        <top style="medium">
          <color theme="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178"/>
        <scheme val="minor"/>
      </font>
      <fill>
        <patternFill patternType="solid">
          <fgColor indexed="64"/>
          <bgColor rgb="FF004B96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178"/>
        <scheme val="minor"/>
      </font>
      <fill>
        <patternFill patternType="solid">
          <fgColor indexed="64"/>
          <bgColor rgb="FF004B96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0"/>
        </left>
        <right/>
        <top style="medium">
          <color theme="0"/>
        </top>
        <bottom/>
        <vertical/>
        <horizontal/>
      </border>
    </dxf>
    <dxf>
      <border outline="0">
        <top style="medium">
          <color theme="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178"/>
        <scheme val="minor"/>
      </font>
      <fill>
        <patternFill patternType="solid">
          <fgColor indexed="64"/>
          <bgColor rgb="FF004B96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right" vertical="center" textRotation="0" wrapText="1" indent="0" justifyLastLine="0" shrinkToFit="0" readingOrder="2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border outline="0"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minor"/>
      </font>
      <fill>
        <patternFill patternType="solid">
          <fgColor indexed="64"/>
          <bgColor rgb="FF004B96"/>
        </patternFill>
      </fill>
      <alignment horizontal="center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/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right" vertical="center" textRotation="0" wrapText="1" indent="0" justifyLastLine="0" shrinkToFit="0" readingOrder="2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border outline="0">
        <right style="thick">
          <color theme="0"/>
        </right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178"/>
        <scheme val="minor"/>
      </font>
      <fill>
        <patternFill patternType="solid">
          <fgColor indexed="64"/>
          <bgColor rgb="FF004B96"/>
        </patternFill>
      </fill>
      <alignment horizontal="center" vertical="center" textRotation="0" wrapText="1" indent="0" justifyLastLine="0" shrinkToFit="0" readingOrder="0"/>
      <border diagonalUp="0" diagonalDown="0" outline="0">
        <left style="thick">
          <color theme="0"/>
        </left>
        <right style="thick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2" formatCode="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2" formatCode="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right" vertical="center" textRotation="0" wrapText="1" indent="0" justifyLastLine="0" shrinkToFit="0" readingOrder="2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border outline="0">
        <right style="thick">
          <color theme="0"/>
        </right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178"/>
        <scheme val="minor"/>
      </font>
      <fill>
        <patternFill patternType="solid">
          <fgColor indexed="64"/>
          <bgColor rgb="FF004B96"/>
        </patternFill>
      </fill>
      <alignment horizontal="center" vertical="center" textRotation="0" wrapText="1" indent="0" justifyLastLine="0" shrinkToFit="0" readingOrder="0"/>
      <border diagonalUp="0" diagonalDown="0" outline="0">
        <left style="thick">
          <color theme="0"/>
        </left>
        <right style="thick">
          <color theme="0"/>
        </right>
        <top/>
        <bottom/>
      </border>
    </dxf>
  </dxfs>
  <tableStyles count="0" defaultTableStyle="TableStyleMedium2" defaultPivotStyle="PivotStyleLight16"/>
  <colors>
    <mruColors>
      <color rgb="FF004B96"/>
      <color rgb="FFEEF7FD"/>
      <color rgb="FF40C1AC"/>
      <color rgb="FF0069AA"/>
      <color rgb="FFD9F2FF"/>
      <color rgb="FFDAEEF3"/>
      <color rgb="FF62B5E5"/>
      <color rgb="FF8194DD"/>
      <color rgb="FFA7A9AC"/>
      <color rgb="FF0038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1575;&#1604;&#1571;&#1587;&#1607;&#1605;!B7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1575;&#1604;&#1571;&#1587;&#1607;&#1605;!B7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1575;&#1604;&#1571;&#1587;&#1607;&#1605;!B7"/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1575;&#1604;&#1571;&#1587;&#1607;&#1605;!B7"/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1575;&#1604;&#1571;&#1587;&#1607;&#1605;!B7"/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1575;&#1604;&#1571;&#1587;&#1607;&#1605;!B7"/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1575;&#1604;&#1571;&#1587;&#1607;&#1605;!B7"/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1575;&#1604;&#1571;&#1587;&#1607;&#1605;!B7"/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1575;&#1604;&#1571;&#1587;&#1607;&#1605;!B7"/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1575;&#1604;&#1571;&#1587;&#1607;&#1605;!B7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1575;&#1604;&#1571;&#1587;&#1607;&#1605;!B7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1575;&#1604;&#1571;&#1587;&#1607;&#1605;!B7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1575;&#1604;&#1571;&#1587;&#1607;&#1605;!B7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1575;&#1604;&#1571;&#1587;&#1607;&#1605;!B7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1575;&#1604;&#1571;&#1587;&#1607;&#1605;!B7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1575;&#1604;&#1571;&#1587;&#1607;&#1605;!B7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1575;&#1604;&#1571;&#1587;&#1607;&#1605;!B7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1575;&#1604;&#1571;&#1587;&#1607;&#1605;!B7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1575;&#1604;&#1571;&#1587;&#1607;&#1605;!B7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104775</xdr:rowOff>
    </xdr:from>
    <xdr:to>
      <xdr:col>1</xdr:col>
      <xdr:colOff>2016584</xdr:colOff>
      <xdr:row>3</xdr:row>
      <xdr:rowOff>66040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21965966" y="295275"/>
          <a:ext cx="1864184" cy="33337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104775</xdr:rowOff>
    </xdr:from>
    <xdr:to>
      <xdr:col>1</xdr:col>
      <xdr:colOff>2016584</xdr:colOff>
      <xdr:row>3</xdr:row>
      <xdr:rowOff>66040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4EA6272-E354-4EBD-B638-FB83C27DB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02892141" y="282575"/>
          <a:ext cx="1864184" cy="34544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104775</xdr:rowOff>
    </xdr:from>
    <xdr:to>
      <xdr:col>1</xdr:col>
      <xdr:colOff>2016584</xdr:colOff>
      <xdr:row>3</xdr:row>
      <xdr:rowOff>66040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F6C7326-E718-4D8A-A022-60010C603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02892141" y="282575"/>
          <a:ext cx="1864184" cy="34861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104775</xdr:rowOff>
    </xdr:from>
    <xdr:to>
      <xdr:col>1</xdr:col>
      <xdr:colOff>2016584</xdr:colOff>
      <xdr:row>3</xdr:row>
      <xdr:rowOff>66040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D0C323C-2765-4150-ABBC-E389959C7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02892141" y="282575"/>
          <a:ext cx="1864184" cy="34861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104775</xdr:rowOff>
    </xdr:from>
    <xdr:to>
      <xdr:col>1</xdr:col>
      <xdr:colOff>2016584</xdr:colOff>
      <xdr:row>3</xdr:row>
      <xdr:rowOff>69215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76971C1-25E9-4031-84EE-6D3B5AB8D2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02892141" y="282575"/>
          <a:ext cx="1864184" cy="34544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2561068</xdr:colOff>
      <xdr:row>4</xdr:row>
      <xdr:rowOff>69426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32748827" y="0"/>
          <a:ext cx="2604248" cy="830791"/>
        </a:xfrm>
        <a:prstGeom prst="rect">
          <a:avLst/>
        </a:prstGeom>
      </xdr:spPr>
    </xdr:pic>
    <xdr:clientData/>
  </xdr:twoCellAnchor>
  <xdr:twoCellAnchor editAs="oneCell">
    <xdr:from>
      <xdr:col>0</xdr:col>
      <xdr:colOff>211667</xdr:colOff>
      <xdr:row>4</xdr:row>
      <xdr:rowOff>105833</xdr:rowOff>
    </xdr:from>
    <xdr:to>
      <xdr:col>0</xdr:col>
      <xdr:colOff>922758</xdr:colOff>
      <xdr:row>6</xdr:row>
      <xdr:rowOff>273126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50313537" y="867833"/>
          <a:ext cx="700296" cy="1080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368837</xdr:colOff>
      <xdr:row>4</xdr:row>
      <xdr:rowOff>86783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6996327" y="28575"/>
          <a:ext cx="2547098" cy="813858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254000</xdr:colOff>
      <xdr:row>5</xdr:row>
      <xdr:rowOff>10583</xdr:rowOff>
    </xdr:from>
    <xdr:to>
      <xdr:col>0</xdr:col>
      <xdr:colOff>952391</xdr:colOff>
      <xdr:row>6</xdr:row>
      <xdr:rowOff>381499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46048454" y="973666"/>
          <a:ext cx="700296" cy="1080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0</xdr:col>
      <xdr:colOff>2580267</xdr:colOff>
      <xdr:row>4</xdr:row>
      <xdr:rowOff>65368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16248" y="28575"/>
          <a:ext cx="2555502" cy="805143"/>
        </a:xfrm>
        <a:prstGeom prst="rect">
          <a:avLst/>
        </a:prstGeom>
      </xdr:spPr>
    </xdr:pic>
    <xdr:clientData/>
  </xdr:twoCellAnchor>
  <xdr:twoCellAnchor editAs="oneCell">
    <xdr:from>
      <xdr:col>0</xdr:col>
      <xdr:colOff>179917</xdr:colOff>
      <xdr:row>5</xdr:row>
      <xdr:rowOff>10584</xdr:rowOff>
    </xdr:from>
    <xdr:to>
      <xdr:col>0</xdr:col>
      <xdr:colOff>884023</xdr:colOff>
      <xdr:row>6</xdr:row>
      <xdr:rowOff>381500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44535037" y="973667"/>
          <a:ext cx="700296" cy="1080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544743</xdr:colOff>
      <xdr:row>4</xdr:row>
      <xdr:rowOff>68543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6940858" y="28575"/>
          <a:ext cx="2545417" cy="805143"/>
        </a:xfrm>
        <a:prstGeom prst="rect">
          <a:avLst/>
        </a:prstGeom>
      </xdr:spPr>
    </xdr:pic>
    <xdr:clientData/>
  </xdr:twoCellAnchor>
  <xdr:twoCellAnchor editAs="oneCell">
    <xdr:from>
      <xdr:col>0</xdr:col>
      <xdr:colOff>222250</xdr:colOff>
      <xdr:row>5</xdr:row>
      <xdr:rowOff>95250</xdr:rowOff>
    </xdr:from>
    <xdr:to>
      <xdr:col>0</xdr:col>
      <xdr:colOff>940749</xdr:colOff>
      <xdr:row>6</xdr:row>
      <xdr:rowOff>210261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47286704" y="1058333"/>
          <a:ext cx="700296" cy="1080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902472</xdr:colOff>
      <xdr:row>2</xdr:row>
      <xdr:rowOff>47376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36419314" y="28575"/>
          <a:ext cx="2543736" cy="805143"/>
        </a:xfrm>
        <a:prstGeom prst="rect">
          <a:avLst/>
        </a:prstGeom>
      </xdr:spPr>
    </xdr:pic>
    <xdr:clientData/>
  </xdr:twoCellAnchor>
  <xdr:twoCellAnchor editAs="oneCell">
    <xdr:from>
      <xdr:col>0</xdr:col>
      <xdr:colOff>166159</xdr:colOff>
      <xdr:row>2</xdr:row>
      <xdr:rowOff>49741</xdr:rowOff>
    </xdr:from>
    <xdr:to>
      <xdr:col>0</xdr:col>
      <xdr:colOff>867725</xdr:colOff>
      <xdr:row>4</xdr:row>
      <xdr:rowOff>352925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40108533" y="832908"/>
          <a:ext cx="698391" cy="108952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1390651</xdr:colOff>
      <xdr:row>3</xdr:row>
      <xdr:rowOff>266700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1B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7880749" y="28575"/>
          <a:ext cx="2867026" cy="809625"/>
        </a:xfrm>
        <a:prstGeom prst="rect">
          <a:avLst/>
        </a:prstGeom>
      </xdr:spPr>
    </xdr:pic>
    <xdr:clientData/>
  </xdr:twoCellAnchor>
  <xdr:twoCellAnchor editAs="oneCell">
    <xdr:from>
      <xdr:col>0</xdr:col>
      <xdr:colOff>201083</xdr:colOff>
      <xdr:row>3</xdr:row>
      <xdr:rowOff>169333</xdr:rowOff>
    </xdr:from>
    <xdr:to>
      <xdr:col>0</xdr:col>
      <xdr:colOff>904554</xdr:colOff>
      <xdr:row>5</xdr:row>
      <xdr:rowOff>141258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60313788" y="740833"/>
          <a:ext cx="700296" cy="1080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1247549</xdr:colOff>
      <xdr:row>3</xdr:row>
      <xdr:rowOff>217487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8227367" y="0"/>
          <a:ext cx="2867026" cy="809625"/>
        </a:xfrm>
        <a:prstGeom prst="rect">
          <a:avLst/>
        </a:prstGeom>
      </xdr:spPr>
    </xdr:pic>
    <xdr:clientData/>
  </xdr:twoCellAnchor>
  <xdr:twoCellAnchor editAs="oneCell">
    <xdr:from>
      <xdr:col>0</xdr:col>
      <xdr:colOff>223761</xdr:colOff>
      <xdr:row>3</xdr:row>
      <xdr:rowOff>302379</xdr:rowOff>
    </xdr:from>
    <xdr:to>
      <xdr:col>0</xdr:col>
      <xdr:colOff>920882</xdr:colOff>
      <xdr:row>4</xdr:row>
      <xdr:rowOff>695824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35201050" y="901093"/>
          <a:ext cx="700296" cy="1076977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1030817</xdr:colOff>
      <xdr:row>4</xdr:row>
      <xdr:rowOff>37041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1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7842649" y="0"/>
          <a:ext cx="2867026" cy="809625"/>
        </a:xfrm>
        <a:prstGeom prst="rect">
          <a:avLst/>
        </a:prstGeom>
      </xdr:spPr>
    </xdr:pic>
    <xdr:clientData/>
  </xdr:twoCellAnchor>
  <xdr:twoCellAnchor editAs="oneCell">
    <xdr:from>
      <xdr:col>0</xdr:col>
      <xdr:colOff>169334</xdr:colOff>
      <xdr:row>4</xdr:row>
      <xdr:rowOff>105833</xdr:rowOff>
    </xdr:from>
    <xdr:to>
      <xdr:col>0</xdr:col>
      <xdr:colOff>866455</xdr:colOff>
      <xdr:row>5</xdr:row>
      <xdr:rowOff>484158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60176203" y="889000"/>
          <a:ext cx="700296" cy="10800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457761</xdr:colOff>
      <xdr:row>3</xdr:row>
      <xdr:rowOff>207709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9788033" y="0"/>
          <a:ext cx="2867026" cy="809625"/>
        </a:xfrm>
        <a:prstGeom prst="rect">
          <a:avLst/>
        </a:prstGeom>
      </xdr:spPr>
    </xdr:pic>
    <xdr:clientData/>
  </xdr:twoCellAnchor>
  <xdr:twoCellAnchor editAs="oneCell">
    <xdr:from>
      <xdr:col>0</xdr:col>
      <xdr:colOff>228298</xdr:colOff>
      <xdr:row>3</xdr:row>
      <xdr:rowOff>210156</xdr:rowOff>
    </xdr:from>
    <xdr:to>
      <xdr:col>0</xdr:col>
      <xdr:colOff>922244</xdr:colOff>
      <xdr:row>4</xdr:row>
      <xdr:rowOff>446513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E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35795227" y="808870"/>
          <a:ext cx="700296" cy="10800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952501</xdr:colOff>
      <xdr:row>3</xdr:row>
      <xdr:rowOff>151534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7858815" y="0"/>
          <a:ext cx="2867026" cy="809625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3</xdr:row>
      <xdr:rowOff>123825</xdr:rowOff>
    </xdr:from>
    <xdr:to>
      <xdr:col>0</xdr:col>
      <xdr:colOff>884446</xdr:colOff>
      <xdr:row>5</xdr:row>
      <xdr:rowOff>83050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89538804" y="790575"/>
          <a:ext cx="700296" cy="108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54428</xdr:colOff>
      <xdr:row>0</xdr:row>
      <xdr:rowOff>54429</xdr:rowOff>
    </xdr:from>
    <xdr:to>
      <xdr:col>1</xdr:col>
      <xdr:colOff>1038864</xdr:colOff>
      <xdr:row>3</xdr:row>
      <xdr:rowOff>294459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51329796" y="54429"/>
          <a:ext cx="2867026" cy="809625"/>
        </a:xfrm>
        <a:prstGeom prst="rect">
          <a:avLst/>
        </a:prstGeom>
      </xdr:spPr>
    </xdr:pic>
    <xdr:clientData/>
  </xdr:twoCellAnchor>
  <xdr:twoCellAnchor editAs="oneCell">
    <xdr:from>
      <xdr:col>0</xdr:col>
      <xdr:colOff>262194</xdr:colOff>
      <xdr:row>3</xdr:row>
      <xdr:rowOff>235324</xdr:rowOff>
    </xdr:from>
    <xdr:to>
      <xdr:col>0</xdr:col>
      <xdr:colOff>960585</xdr:colOff>
      <xdr:row>5</xdr:row>
      <xdr:rowOff>46108</xdr:rowOff>
    </xdr:to>
    <xdr:pic>
      <xdr:nvPicPr>
        <xdr:cNvPr id="8" name="Picture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20389569" y="806824"/>
          <a:ext cx="700296" cy="10800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1390651</xdr:colOff>
      <xdr:row>4</xdr:row>
      <xdr:rowOff>64135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2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0656599" y="28575"/>
          <a:ext cx="2676526" cy="927735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3</xdr:row>
      <xdr:rowOff>209550</xdr:rowOff>
    </xdr:from>
    <xdr:to>
      <xdr:col>0</xdr:col>
      <xdr:colOff>941596</xdr:colOff>
      <xdr:row>7</xdr:row>
      <xdr:rowOff>238625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2832854" y="876300"/>
          <a:ext cx="700296" cy="108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54428</xdr:colOff>
      <xdr:row>0</xdr:row>
      <xdr:rowOff>54429</xdr:rowOff>
    </xdr:from>
    <xdr:to>
      <xdr:col>2</xdr:col>
      <xdr:colOff>6653</xdr:colOff>
      <xdr:row>3</xdr:row>
      <xdr:rowOff>295729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2683547" y="54429"/>
          <a:ext cx="2625575" cy="809625"/>
        </a:xfrm>
        <a:prstGeom prst="rect">
          <a:avLst/>
        </a:prstGeom>
      </xdr:spPr>
    </xdr:pic>
    <xdr:clientData/>
  </xdr:twoCellAnchor>
  <xdr:twoCellAnchor editAs="oneCell">
    <xdr:from>
      <xdr:col>0</xdr:col>
      <xdr:colOff>296334</xdr:colOff>
      <xdr:row>3</xdr:row>
      <xdr:rowOff>211667</xdr:rowOff>
    </xdr:from>
    <xdr:to>
      <xdr:col>0</xdr:col>
      <xdr:colOff>999805</xdr:colOff>
      <xdr:row>5</xdr:row>
      <xdr:rowOff>381500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63658120" y="783167"/>
          <a:ext cx="700296" cy="108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29629</xdr:colOff>
      <xdr:row>0</xdr:row>
      <xdr:rowOff>28575</xdr:rowOff>
    </xdr:from>
    <xdr:to>
      <xdr:col>1</xdr:col>
      <xdr:colOff>1398690</xdr:colOff>
      <xdr:row>4</xdr:row>
      <xdr:rowOff>164465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8002687" y="28575"/>
          <a:ext cx="2673351" cy="930910"/>
        </a:xfrm>
        <a:prstGeom prst="rect">
          <a:avLst/>
        </a:prstGeom>
      </xdr:spPr>
    </xdr:pic>
    <xdr:clientData/>
  </xdr:twoCellAnchor>
  <xdr:twoCellAnchor editAs="oneCell">
    <xdr:from>
      <xdr:col>0</xdr:col>
      <xdr:colOff>275167</xdr:colOff>
      <xdr:row>4</xdr:row>
      <xdr:rowOff>137584</xdr:rowOff>
    </xdr:from>
    <xdr:to>
      <xdr:col>0</xdr:col>
      <xdr:colOff>978638</xdr:colOff>
      <xdr:row>7</xdr:row>
      <xdr:rowOff>103794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39730204" y="931334"/>
          <a:ext cx="700296" cy="108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2552359</xdr:colOff>
      <xdr:row>4</xdr:row>
      <xdr:rowOff>69426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0682502" y="0"/>
          <a:ext cx="2547098" cy="830791"/>
        </a:xfrm>
        <a:prstGeom prst="rect">
          <a:avLst/>
        </a:prstGeom>
      </xdr:spPr>
    </xdr:pic>
    <xdr:clientData/>
  </xdr:twoCellAnchor>
  <xdr:twoCellAnchor editAs="oneCell">
    <xdr:from>
      <xdr:col>0</xdr:col>
      <xdr:colOff>1056409</xdr:colOff>
      <xdr:row>5</xdr:row>
      <xdr:rowOff>57727</xdr:rowOff>
    </xdr:from>
    <xdr:to>
      <xdr:col>0</xdr:col>
      <xdr:colOff>1762027</xdr:colOff>
      <xdr:row>7</xdr:row>
      <xdr:rowOff>37695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381021064" y="1027545"/>
          <a:ext cx="705618" cy="108833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0</xdr:col>
      <xdr:colOff>2582870</xdr:colOff>
      <xdr:row>4</xdr:row>
      <xdr:rowOff>86783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85744362" y="28575"/>
          <a:ext cx="2855708" cy="813858"/>
        </a:xfrm>
        <a:prstGeom prst="rect">
          <a:avLst/>
        </a:prstGeom>
      </xdr:spPr>
    </xdr:pic>
    <xdr:clientData/>
  </xdr:twoCellAnchor>
  <xdr:twoCellAnchor editAs="oneCell">
    <xdr:from>
      <xdr:col>0</xdr:col>
      <xdr:colOff>232834</xdr:colOff>
      <xdr:row>5</xdr:row>
      <xdr:rowOff>31750</xdr:rowOff>
    </xdr:from>
    <xdr:to>
      <xdr:col>0</xdr:col>
      <xdr:colOff>943290</xdr:colOff>
      <xdr:row>6</xdr:row>
      <xdr:rowOff>408381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48493203" y="994833"/>
          <a:ext cx="700296" cy="108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0</xdr:col>
      <xdr:colOff>2583442</xdr:colOff>
      <xdr:row>4</xdr:row>
      <xdr:rowOff>68543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86198873" y="28575"/>
          <a:ext cx="2858397" cy="805143"/>
        </a:xfrm>
        <a:prstGeom prst="rect">
          <a:avLst/>
        </a:prstGeom>
      </xdr:spPr>
    </xdr:pic>
    <xdr:clientData/>
  </xdr:twoCellAnchor>
  <xdr:twoCellAnchor editAs="oneCell">
    <xdr:from>
      <xdr:col>0</xdr:col>
      <xdr:colOff>222250</xdr:colOff>
      <xdr:row>4</xdr:row>
      <xdr:rowOff>127000</xdr:rowOff>
    </xdr:from>
    <xdr:to>
      <xdr:col>0</xdr:col>
      <xdr:colOff>926356</xdr:colOff>
      <xdr:row>6</xdr:row>
      <xdr:rowOff>297468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46609371" y="889000"/>
          <a:ext cx="700296" cy="1080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0</xdr:col>
      <xdr:colOff>2599815</xdr:colOff>
      <xdr:row>4</xdr:row>
      <xdr:rowOff>68543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86388028" y="28575"/>
          <a:ext cx="2852122" cy="805143"/>
        </a:xfrm>
        <a:prstGeom prst="rect">
          <a:avLst/>
        </a:prstGeom>
      </xdr:spPr>
    </xdr:pic>
    <xdr:clientData/>
  </xdr:twoCellAnchor>
  <xdr:twoCellAnchor editAs="oneCell">
    <xdr:from>
      <xdr:col>0</xdr:col>
      <xdr:colOff>211667</xdr:colOff>
      <xdr:row>5</xdr:row>
      <xdr:rowOff>21167</xdr:rowOff>
    </xdr:from>
    <xdr:to>
      <xdr:col>0</xdr:col>
      <xdr:colOff>916196</xdr:colOff>
      <xdr:row>6</xdr:row>
      <xdr:rowOff>391448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48376787" y="984250"/>
          <a:ext cx="700296" cy="1080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0</xdr:col>
      <xdr:colOff>2579084</xdr:colOff>
      <xdr:row>3</xdr:row>
      <xdr:rowOff>259043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7937899" y="28575"/>
          <a:ext cx="2867026" cy="809625"/>
        </a:xfrm>
        <a:prstGeom prst="rect">
          <a:avLst/>
        </a:prstGeom>
      </xdr:spPr>
    </xdr:pic>
    <xdr:clientData/>
  </xdr:twoCellAnchor>
  <xdr:twoCellAnchor editAs="oneCell">
    <xdr:from>
      <xdr:col>0</xdr:col>
      <xdr:colOff>232833</xdr:colOff>
      <xdr:row>4</xdr:row>
      <xdr:rowOff>52916</xdr:rowOff>
    </xdr:from>
    <xdr:to>
      <xdr:col>0</xdr:col>
      <xdr:colOff>940749</xdr:colOff>
      <xdr:row>5</xdr:row>
      <xdr:rowOff>427008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892377454" y="931333"/>
          <a:ext cx="700296" cy="1080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D109F6E-9C8B-41CB-9D40-FA946977818F}" name="Table7" displayName="Table7" ref="A8:J51" totalsRowShown="0" headerRowDxfId="300" dataDxfId="299" tableBorderDxfId="298">
  <autoFilter ref="A8:J51" xr:uid="{189CEA1F-0452-4594-B03D-B52371B58D19}"/>
  <tableColumns count="10">
    <tableColumn id="1" xr3:uid="{589FF201-CC6C-4E08-AD8C-47A4DE74A54E}" name="الفترة _x000a_Period  " dataDxfId="297"/>
    <tableColumn id="2" xr3:uid="{144854B0-0ED1-4FC5-BDB4-C05CF026E315}" name="المؤشر العام لأداء سوق الأسهم السعودي_x000a_ (نقطة)  Tadawul All Share Index (TASI) " dataDxfId="296"/>
    <tableColumn id="3" xr3:uid="{EEA3D21F-D431-436E-A2D7-F342431B5A1D}" name="القيمة الإجمالية للأسهم المتداولة_x000a_(مليون ريال)  Total Value Traded_x000a_(Million Riyals)" dataDxfId="295"/>
    <tableColumn id="4" xr3:uid="{8AFC53FF-C3CF-47FE-B062-D2094EFFAB76}" name="القيمة السوقية للأسهم المصدرة _x000a_ (مليون ريال)  Market Capitalization_x000a_(Million Riyals)" dataDxfId="294"/>
    <tableColumn id="5" xr3:uid="{E78BB023-936E-4B7D-B8A8-CEFCAC6C6BF1}" name="القيمة السوقية للأسهم الحرة_x000a_(مليون ريال)  Market Capitalization of Free Float Shares_x000a_(Million Riyals)" dataDxfId="293"/>
    <tableColumn id="6" xr3:uid="{F7D4DCEE-96FC-4F8E-B2D3-7F9E1D81C377}" name="عدد الشركات المدرجة  Number of Listed Companies" dataDxfId="292"/>
    <tableColumn id="11" xr3:uid="{F37BC01F-0524-49B0-9B04-61FC658FFC33}" name="الشركات الملغى إدراجها_x000a_Number of Delisted Companies" dataDxfId="291"/>
    <tableColumn id="7" xr3:uid="{2E1A39B3-A509-4D0F-8BD8-04853C20B136}" name="المتوسط اليومي لقيمة الأسهم المتداولة _x000a_(مليون ريال)  Daily Average of Shares Traded _x000a_(Million Riyals)" dataDxfId="290"/>
    <tableColumn id="8" xr3:uid="{44B13365-AC6C-42F9-87DF-480C4EAF7178}" name="مكرر الربحية _x000a_( السعر للعائد)  Price Earnings Ratio" dataDxfId="289"/>
    <tableColumn id="9" xr3:uid="{F69E6489-976D-4B51-8ED6-F4FD679FE403}" name="( السعر/القيمة الدفترية)  Price/Book Value Ration" dataDxfId="288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DE5910FE-1560-42BA-BA75-DCAB33BFF0CB}" name="Table16" displayName="Table16" ref="A9:H24" totalsRowShown="0" headerRowDxfId="115" dataDxfId="114" tableBorderDxfId="113">
  <autoFilter ref="A9:H24" xr:uid="{0C62929A-D274-44AF-A253-596153FA2D93}"/>
  <tableColumns count="8">
    <tableColumn id="1" xr3:uid="{AB1E0745-7D94-4F57-B072-FFD6CEE009A1}" name="الفترة Period" dataDxfId="112"/>
    <tableColumn id="2" xr3:uid="{F042D100-1D86-489C-B55A-24AAB481C3E1}" name="النصف الأول عام 2021م_x000a_First Half 2021" dataDxfId="111"/>
    <tableColumn id="3" xr3:uid="{A5F19F4E-ED0A-43DE-96A7-36A1FE06EC02}" name="العام 2021م_x000a_year 2021" dataDxfId="110"/>
    <tableColumn id="4" xr3:uid="{4CEC9EDA-A184-4389-965D-DE32A91DE8B0}" name="النصف الأول عام 2022م_x000a_First Half 2022" dataDxfId="109"/>
    <tableColumn id="5" xr3:uid="{075E04DC-7018-4BF9-9299-593438CE55D4}" name="العام 2022م_x000a_year 2022" dataDxfId="108"/>
    <tableColumn id="6" xr3:uid="{DEBF2C1A-7666-42C6-B0D1-C84E36E873B2}" name="النصف الأول عام 2023م_x000a_First Half 2023" dataDxfId="107"/>
    <tableColumn id="7" xr3:uid="{78DF0E48-06D9-4722-9590-3C68B38095C7}" name="عام 2023م_x000a_2023" dataDxfId="106"/>
    <tableColumn id="8" xr3:uid="{76BC085F-0CB7-A64E-A666-965794F23BFC}" name="النصف الأول عام 2024م_x000a_First Half 2024" dataDxfId="105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BBA85458-B8EF-49E2-9FA3-3B3B683E520B}" name="Table17" displayName="Table17" ref="A9:H24" totalsRowShown="0" headerRowDxfId="104" dataDxfId="103" tableBorderDxfId="102">
  <autoFilter ref="A9:H24" xr:uid="{31443DB6-0956-4551-A134-6C5146EC5F3B}"/>
  <tableColumns count="8">
    <tableColumn id="1" xr3:uid="{442D1395-F252-4EF1-A2EF-CDE724181740}" name="الفترة Period" dataDxfId="101"/>
    <tableColumn id="2" xr3:uid="{FDC74036-CF67-4061-B1E3-5C445FA8A2F5}" name="النصف الأول عام 2021م_x000a_First Half 2021" dataDxfId="100"/>
    <tableColumn id="3" xr3:uid="{175785A5-35E3-4A16-98E3-DD5CBBDEB4EB}" name="العام 2021م_x000a_year 2021" dataDxfId="99"/>
    <tableColumn id="4" xr3:uid="{9A57C583-FCE2-48F8-83F6-B17B557A4CDA}" name="النصف الأول عام 2022م_x000a_First Half 2022" dataDxfId="98"/>
    <tableColumn id="5" xr3:uid="{97EBD197-2989-4067-B9CA-ACB930DBE1DE}" name="العام 2022م_x000a_year 2022" dataDxfId="97"/>
    <tableColumn id="6" xr3:uid="{289CC25F-3D3F-4C02-A450-DA6204D3A84D}" name="النصف الأول عام 2023م_x000a_First Half 2023" dataDxfId="96"/>
    <tableColumn id="7" xr3:uid="{D40758C0-31D1-4427-B67F-9A7A1F02EC5D}" name="عام 2023م_x000a_2023" dataDxfId="95"/>
    <tableColumn id="8" xr3:uid="{F3B7643F-354C-B841-915B-6A36A700A6B7}" name="النصف الأول عام 2024م_x000a_First Half 2024" dataDxfId="94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E553961D-0EFE-42B9-B289-ADDA6548833E}" name="Table18" displayName="Table18" ref="A9:H24" totalsRowShown="0" headerRowDxfId="93" dataDxfId="92" tableBorderDxfId="91">
  <autoFilter ref="A9:H24" xr:uid="{50D43D60-B43D-4C80-9958-F4731DCAA3DA}"/>
  <tableColumns count="8">
    <tableColumn id="1" xr3:uid="{50D34011-84F5-48CD-9CC8-1CFD2156E356}" name="الفترة Period" dataDxfId="90"/>
    <tableColumn id="2" xr3:uid="{C6FE89E7-87C0-4625-81F7-1552D1B38B72}" name="النصف الأول عام 2021م_x000a_First Half 2021" dataDxfId="89"/>
    <tableColumn id="3" xr3:uid="{D110C328-0CA1-40A5-B14D-BC795B77AF95}" name="العام 2021م_x000a_year 2021" dataDxfId="88"/>
    <tableColumn id="4" xr3:uid="{CD0A6A66-EE5D-4C50-8738-8EF4BD64AB68}" name="النصف الأول عام 2022م_x000a_First Half 2022" dataDxfId="87"/>
    <tableColumn id="5" xr3:uid="{23397B08-7E76-4B89-8345-F44E374A41BA}" name="العام 2022م_x000a_year 2022" dataDxfId="86"/>
    <tableColumn id="6" xr3:uid="{E79F57A5-7116-4D23-BCD9-A7C3C14EB0DD}" name="النصف الأول عام 2023م_x000a_First Half 2023" dataDxfId="85"/>
    <tableColumn id="7" xr3:uid="{DEA7B101-0F05-41D5-8EDF-86E10972D39F}" name="عام 2023م_x000a_2023" dataDxfId="84"/>
    <tableColumn id="8" xr3:uid="{C0F5507F-38EF-AB46-B40D-F9E990176D2E}" name="النصف الأول عام 2024م_x000a_First Half 2024" dataDxfId="83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86C4AF27-2459-4A4D-9A23-52F03504C750}" name="Table19" displayName="Table19" ref="A8:H23" totalsRowShown="0" headerRowDxfId="82" dataDxfId="81" tableBorderDxfId="80">
  <autoFilter ref="A8:H23" xr:uid="{19579729-1ED1-4486-8000-F270BCD3CCC3}"/>
  <tableColumns count="8">
    <tableColumn id="1" xr3:uid="{43866C15-78AE-4DFE-84BF-7B4AFFD804B4}" name="الفترة Period" dataDxfId="79"/>
    <tableColumn id="2" xr3:uid="{753DAEBA-61C3-4675-9815-D30C4248930F}" name="النصف الأول عام 2021م_x000a_First Half 2021" dataDxfId="78"/>
    <tableColumn id="3" xr3:uid="{4AE27538-68BD-43CB-B1D2-4F4000AE6613}" name="العام 2021م_x000a_year 2021" dataDxfId="77"/>
    <tableColumn id="4" xr3:uid="{37DD156A-A3C9-4CC2-98D5-BB91B9F6FD40}" name="النصف الأول عام 2022م_x000a_First Half 2022" dataDxfId="76"/>
    <tableColumn id="5" xr3:uid="{E23CCA72-DD57-4D98-94EB-FF44EFC73730}" name="العام 2022م_x000a_year 2022" dataDxfId="75"/>
    <tableColumn id="6" xr3:uid="{6ED5FED4-73C6-4771-A961-6D1C962986F7}" name="النصف الأول عام 2023م_x000a_First Half 2023" dataDxfId="74"/>
    <tableColumn id="7" xr3:uid="{1FDC0F50-3EE7-45A8-8BC9-DB8FFDD71200}" name="عام 2023م_x000a_2023" dataDxfId="73"/>
    <tableColumn id="8" xr3:uid="{0F017941-1001-0242-96DA-C53097D19944}" name="النصف الأول عام 2024م_x000a_First Half 2024" dataDxfId="72"/>
  </tableColumns>
  <tableStyleInfo name="TableStyleMedium2" showFirstColumn="1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FA14CF06-47E5-410B-ABA1-B9E7BF81656D}" name="Table20" displayName="Table20" ref="A7:E54" totalsRowShown="0" headerRowDxfId="71" dataDxfId="70" tableBorderDxfId="69">
  <autoFilter ref="A7:E54" xr:uid="{162457B0-B468-46AD-A502-05E5056B2B20}"/>
  <tableColumns count="5">
    <tableColumn id="1" xr3:uid="{0A45AFCA-9C9F-4F98-9C52-379043DF5445}" name="نهاية الفترة_x000a_End of Period" dataDxfId="68"/>
    <tableColumn id="2" xr3:uid="{982C6B14-01AB-400D-A825-0E5155248841}" name="ذكر_x000a_Male" dataDxfId="67"/>
    <tableColumn id="3" xr3:uid="{2E1170CA-2FD8-4A01-B52F-1BD8DB104809}" name="أنثى_x000a_Female" dataDxfId="66"/>
    <tableColumn id="4" xr3:uid="{B97671B1-2B4C-4865-B607-4402F427C25B}" name="إجمالي عدد الأفراد_x000a_Total number of Individuals" dataDxfId="65"/>
    <tableColumn id="5" xr3:uid="{9F9CC252-B7AA-40DA-863F-1B124B31197D}" name="عدد المحافظ الاستثمارية للأفراد*_x000a_Number of Individual Portfolios*" dataDxfId="6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9A184037-0695-4436-8F98-3DED87A54274}" name="Table21" displayName="Table21" ref="A7:R93" totalsRowShown="0" headerRowDxfId="63" dataDxfId="62" dataCellStyle="Comma">
  <autoFilter ref="A7:R93" xr:uid="{7B03BA13-6B61-4AFC-9912-AA9DC1CB818A}"/>
  <tableColumns count="18">
    <tableColumn id="1" xr3:uid="{514CAE89-31B0-4129-B80F-73179EBA3A20}" name="نهاية الفترة_x000a_End of Period" dataDxfId="61"/>
    <tableColumn id="3" xr3:uid="{A0B1B081-FEBC-4747-B67B-CA639429FAA1}" name="كبار المستثمرين الأفراد * السعوديون_x000a_Saudi High Net Worth Investors  (HNWIs) *" dataDxfId="60" dataCellStyle="Comma"/>
    <tableColumn id="4" xr3:uid="{9742B251-6C92-4DA0-8170-83C4088CFD36}" name="المستثمرون الأفراد السعوديون_x000a_Saudi Retail" dataDxfId="59" dataCellStyle="Comma"/>
    <tableColumn id="5" xr3:uid="{A1FABB85-2FA8-42C4-A6B4-988B09B0FEBF}" name="المستثمرون الأفراد المتخصصون السعوديون**  _x000a_Saudi Individual Professional Investors (IPIs)**" dataDxfId="58" dataCellStyle="Comma"/>
    <tableColumn id="6" xr3:uid="{6C0C963C-7818-4B24-BA38-C5400BFCF61E}" name="محافظ الأفراد المدارة السعوديون _x000a_Saudi Individual DPMs" dataDxfId="57" dataCellStyle="Comma"/>
    <tableColumn id="7" xr3:uid="{4B5CC61D-82B6-4706-9393-4E0E22DA83B6}" name="شركات سعودية_x000a_Saudi Corporates" dataDxfId="56" dataCellStyle="Comma"/>
    <tableColumn id="8" xr3:uid="{D9FB453D-1BA3-4299-B8EC-7DCD5A3EDADE}" name="الصناديق الاستثمارية السعودية  _x000a_Saudi Mutual Funds " dataDxfId="55" dataCellStyle="Comma"/>
    <tableColumn id="9" xr3:uid="{9616C1E8-83C9-4A6F-B556-7884FF8EC195}" name="الجهات الحكومية السعودية_x000a_Saudi Government Related Entities (GREs)" dataDxfId="54" dataCellStyle="Comma"/>
    <tableColumn id="10" xr3:uid="{F76B960C-0B18-46D8-BC12-0EA12DE56BED}" name="محافظ المؤسسات المدارة السعودية_x000a_Saudi Institutional DPMs" dataDxfId="53" dataCellStyle="Comma"/>
    <tableColumn id="11" xr3:uid="{3D14F0CD-E538-49DE-9B4D-15FA40A2A738}" name="الأفراد الخليجيون _x000a_GCC  Individuals" dataDxfId="52" dataCellStyle="Comma"/>
    <tableColumn id="12" xr3:uid="{784BBE8B-AD1A-493A-B7E6-9CD39485935E}" name="المؤسسات الخليجية_x000a_GCC Institutions" dataDxfId="51" dataCellStyle="Comma"/>
    <tableColumn id="13" xr3:uid="{CAB43D0D-3C3A-4889-BF8E-6E074E4E4EBD}" name=" المحافظ المدارة الخليجية _x000a_ GCC DPMs " dataDxfId="50" dataCellStyle="Comma"/>
    <tableColumn id="14" xr3:uid="{97A4604F-629A-42CA-BDC1-9E41F7212F79}" name="اتفاقيات المبادلة الأجنبية_x000a_Foreigner  SWAP Holders" dataDxfId="49" dataCellStyle="Comma"/>
    <tableColumn id="15" xr3:uid="{158548D9-8967-4FA1-A5AA-8F5775E27987}" name="المستثمرون المقيمون الأجانب _x000a_Foreigner Foreign Residents" dataDxfId="48" dataCellStyle="Comma"/>
    <tableColumn id="16" xr3:uid="{D768F571-F4C7-4A03-B92D-94BCF5A2D5CA}" name="المستثمرون المؤهلون الأجانب_x000a_Foreigner *** QFIs***" dataDxfId="47" dataCellStyle="Comma"/>
    <tableColumn id="17" xr3:uid="{4063F3C1-9748-4A03-8EFA-5D2341C2B2E6}" name="الشركاء الاستراتيجيون الأجانب_x000a_Foreigner Strategic Partners " dataDxfId="46" dataCellStyle="Comma"/>
    <tableColumn id="18" xr3:uid="{A8752C3C-04F1-47E6-BAC8-19D96BB86894}" name="المحافظ المدارة الأجنبية_x000a_Foreigner Foreign DPMs " dataDxfId="45" dataCellStyle="Comma"/>
    <tableColumn id="19" xr3:uid="{0A98775D-784C-47AE-AF30-23B669C202C4}" name="الإجمالي_x000a_Total" dataDxfId="44" dataCellStyle="Comma">
      <calculatedColumnFormula>SUM(B8:Q8)</calculatedColumnFormula>
    </tableColumn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97FE67D2-7E37-48F4-8248-59B3D7E94829}" name="Table22" displayName="Table22" ref="A8:D94" totalsRowShown="0" headerRowDxfId="43" tableBorderDxfId="42">
  <autoFilter ref="A8:D94" xr:uid="{FB697AE4-EEE5-4E90-8A79-89A65178CEA8}"/>
  <tableColumns count="4">
    <tableColumn id="1" xr3:uid="{6E04226C-EE0A-4992-A0DC-DED50E777CD0}" name="نهاية الفترة End of Period" dataDxfId="41"/>
    <tableColumn id="3" xr3:uid="{541F43EA-567E-40B0-BAF9-03C809A00B6C}" name="مستثمر مؤسسي*Institutional  Investor* " dataDxfId="40"/>
    <tableColumn id="4" xr3:uid="{6C81E576-6701-4720-9ADF-8C82EC14B027}" name="مستثمر غير مؤسسي** Non-Institutional Investor**" dataDxfId="39"/>
    <tableColumn id="5" xr3:uid="{267CC24A-18FA-46B0-B065-263FA8AC19A3}" name="الإجمالي Total" dataDxfId="38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D8B6B223-2401-47C6-A992-B5831E58BE99}" name="Table23" displayName="Table23" ref="A7:R179" totalsRowShown="0" headerRowDxfId="37" dataDxfId="36" tableBorderDxfId="35">
  <autoFilter ref="A7:R179" xr:uid="{3534D5AC-C307-4F93-AA20-37D2CF242007}"/>
  <tableColumns count="18">
    <tableColumn id="1" xr3:uid="{B19EC6A3-EBAA-4F2D-99F7-62CACE2C5D11}" name="خلال الفترة_x000a_During Period" dataDxfId="34"/>
    <tableColumn id="2" xr3:uid="{5B41B345-2DD1-49E2-B822-2082611E24DD}" name="كبار المستثمرين الأفراد * السعوديون_x000a_Saudi High Net Worth Investors  (HNWIs) *" dataDxfId="33"/>
    <tableColumn id="3" xr3:uid="{AE952D6B-F5CC-49D6-AEFB-036DAB566267}" name="المستثمرون الأفراد السعوديون_x000a_Saudi Retail" dataDxfId="32"/>
    <tableColumn id="4" xr3:uid="{BBB72522-1E31-4730-842B-4D3F7FD690DA}" name="المستثمرون الأفراد المتخصصون السعوديون**  _x000a_Saudi Individual Professional Investors (IPIs)**" dataDxfId="31"/>
    <tableColumn id="5" xr3:uid="{86F45BDA-A3EB-4B40-A8CB-A715C4187B2D}" name="محافظ الأفراد المدارة السعوديون _x000a_Saudi Individual DPMs" dataDxfId="30"/>
    <tableColumn id="6" xr3:uid="{86514319-2E7B-40FA-8B0C-0E3E4651D6B9}" name="شركات سعودية_x000a_Saudi Corporates" dataDxfId="29"/>
    <tableColumn id="7" xr3:uid="{1651252E-74E2-4FB7-AE8B-13491E944F61}" name="الصناديق الاستثمارية السعودية  _x000a_Saudi Mutual Funds " dataDxfId="28"/>
    <tableColumn id="8" xr3:uid="{C4F8C74B-B5D2-4C77-B1E8-5471A169EA37}" name="مؤسسات الجهات الحكومية السعودية_x000a_Saudi Government Related Entities (GREs)" dataDxfId="27"/>
    <tableColumn id="9" xr3:uid="{1F9E6E2D-BD72-45DA-815D-FFEFFD4F5DBB}" name="محافظ المؤسسات المدارة السعودية_x000a_Saudi Institutional DPMs" dataDxfId="26"/>
    <tableColumn id="10" xr3:uid="{B94D21D1-667E-444B-A4FB-A3A34B1A196B}" name="الأفراد الخليجيون _x000a_GCC  Individuals" dataDxfId="25"/>
    <tableColumn id="11" xr3:uid="{5E20BB6C-C526-4A57-9BD9-125F46EC86EE}" name="المؤسسات الخليجية_x000a_GCC Institutions" dataDxfId="24"/>
    <tableColumn id="12" xr3:uid="{3BD545F2-B11A-4C8F-A09D-2B09F0EBB2AA}" name=" المحافظ المدارة الخليجية _x000a_ GCC DPMs " dataDxfId="23"/>
    <tableColumn id="13" xr3:uid="{541A693D-5343-4EDA-96C6-DED4FEE22928}" name="اتفاقيات المبادلة الأجنبية_x000a_Foreigner  SWAP Holders" dataDxfId="22"/>
    <tableColumn id="14" xr3:uid="{BD72C610-29FC-4903-BE5A-1C4A4FD0EFBC}" name="المستثمرون المقيمون الأجانب _x000a_Foreigner Foreign Residents" dataDxfId="21"/>
    <tableColumn id="15" xr3:uid="{6F64041C-9B54-4F4B-84F5-1C190D1193A3}" name="المستثمرون  المؤهلون الأجانب_x000a_Foreigner *** QFIs***" dataDxfId="20"/>
    <tableColumn id="16" xr3:uid="{1A37A48B-A80D-4277-B3C5-0653DBC44332}" name="الشركاء الاستراتيجيون الأجانب_x000a_Foreigner Strategic Partners " dataDxfId="19"/>
    <tableColumn id="17" xr3:uid="{F744F247-5615-401F-ADC9-6720DCA0ED2E}" name="المحافظ المدارة الأجنبية_x000a_Foreigner Foreign DPMs " dataDxfId="18"/>
    <tableColumn id="18" xr3:uid="{44D18BC1-AC53-4B94-A29E-2332408E2404}" name="الإجمالي_x000a_Total" dataDxfId="17">
      <calculatedColumnFormula>SUM(B8:Q8)</calculatedColumnFormula>
    </tableColumn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EDE9D6EA-37C1-40FF-AD53-188EB490BF96}" name="Table24" displayName="Table24" ref="A7:D179" totalsRowShown="0" headerRowDxfId="16" tableBorderDxfId="15">
  <autoFilter ref="A7:D179" xr:uid="{A3DE1D04-673D-44A2-8A1C-3C35988C50F2}"/>
  <tableColumns count="4">
    <tableColumn id="1" xr3:uid="{C8C5AC7D-B158-4886-AEA7-B5D9D9AB46E1}" name="خلال الفترة During Period" dataDxfId="14"/>
    <tableColumn id="2" xr3:uid="{9E7C3BED-47FD-4A18-9AD6-68D2B719F869}" name="مستثمر مؤسسي* Institutional  Investor*" dataDxfId="13"/>
    <tableColumn id="3" xr3:uid="{584B2F88-6FE0-4A79-9713-567322736404}" name="مستثمر غير مؤسسي** Non-Institutional Investor**" dataDxfId="12"/>
    <tableColumn id="4" xr3:uid="{C4767C47-9ED4-4793-B450-769B86A67239}" name="الإجمالي Total" dataDxfId="11">
      <calculatedColumnFormula>SUM(B8:C8)</calculatedColumnFormula>
    </tableColumn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8F72245F-D061-4CD6-AA3B-517BE96CE19E}" name="Table25" displayName="Table25" ref="B8:H28" totalsRowShown="0" headerRowDxfId="10" dataDxfId="9" tableBorderDxfId="8">
  <autoFilter ref="B8:H28" xr:uid="{FFC26C27-21EE-4AB3-AD59-458A28FE3E6C}"/>
  <tableColumns count="7">
    <tableColumn id="1" xr3:uid="{6AB6A134-A20E-4B76-BB2A-848C23652E4D}" name="خلال  الفترة_x000a_During  Period" dataDxfId="7"/>
    <tableColumn id="2" xr3:uid="{6978F9F2-70BE-4ADD-81F8-A80E350F85C5}" name="(أسهم**) عدد الصفقات ( Equities**) Number of Trades " dataDxfId="6"/>
    <tableColumn id="3" xr3:uid="{AA948929-B9C8-41E6-A978-01A95D626604}" name="(أسهم**) القيمة ( Equities**) Value" dataDxfId="5"/>
    <tableColumn id="4" xr3:uid="{B58C98B9-2D2D-4109-8ACA-22C62ACB6E66}" name="عدد صفقات الصكوك والسندات Sukuk and Bonds Number of Trades" dataDxfId="4"/>
    <tableColumn id="5" xr3:uid="{F65E526A-5330-48AA-A82F-34C59426654D}" name="قيمة الصكوك والسندات Sukuk and Bonds Value" dataDxfId="3"/>
    <tableColumn id="6" xr3:uid="{1B47BE50-8C47-43E5-9C26-6B6BEBB69953}" name="إجمالي عدد الصفقات_x000a_ (مليون ريال) Total_x000a_ (Million Riyals)Number of Trades" dataDxfId="2"/>
    <tableColumn id="7" xr3:uid="{7B8BF2C5-6065-4387-B0B2-15625E4C7169}" name="إجمالي القيمة_x000a_ (مليون ريال) Total_x000a_ (Million Riyals)  Value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63B1F92-B979-45F6-922B-4112E90880A3}" name="Table8" displayName="Table8" ref="A8:G32" totalsRowShown="0" headerRowDxfId="287" dataDxfId="286" tableBorderDxfId="285">
  <autoFilter ref="A8:G32" xr:uid="{798ADF98-21C5-49A8-8F1D-041DE607E3DB}"/>
  <tableColumns count="7">
    <tableColumn id="1" xr3:uid="{9C3FF5DA-DFC6-4E82-91E3-307F28045ECE}" name="الفترة _x000a_Period " dataDxfId="284"/>
    <tableColumn id="2" xr3:uid="{504C8072-BD99-4AB9-9D1C-344718788CEF}" name="المؤشر العام لأداء سوق الأسهم الثانوي نمو_x000a_ (نقطة) Tadawul All Share Index (NOMU) " dataDxfId="283"/>
    <tableColumn id="3" xr3:uid="{62975A2D-B563-4F8F-BB5E-AB49C59BA7A7}" name="القيمة الإجمالية للأسهم المتداولة_x000a_(مليون ريال) Total Value Traded_x000a_(Million Riyals)" dataDxfId="282"/>
    <tableColumn id="4" xr3:uid="{C04DF4E6-29A4-4B8C-A6AF-E27981071324}" name="القيمة السوقية للأسهم المصدرة _x000a_ (مليون ريال) Market Capitalization_x000a_(Million Riyals)" dataDxfId="281"/>
    <tableColumn id="5" xr3:uid="{39D36EE2-F471-479E-9B17-30B109624920}" name="القيمة السوقية للأسهم الحرة_x000a_(مليون ريال) Market Capitalization of Free Float Shares_x000a_(Million Riyals)" dataDxfId="280"/>
    <tableColumn id="6" xr3:uid="{19CB6912-654F-4088-A574-537E2C483204}" name="عدد الشركات المدرجة Number of Listed Companies" dataDxfId="279"/>
    <tableColumn id="7" xr3:uid="{4CD90071-065C-4381-AA9B-8824160CB0FF}" name="المتوسط اليومي لقيمة الأسهم المتداولة _x000a_(مليون ريال) Daily Average of Shares Traded _x000a_(Million Riyals)" dataDxfId="27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AF9E4D5D-7368-4656-BDE2-76614E4940B8}" name="Table9" displayName="Table9" ref="B8:G39" totalsRowShown="0" headerRowDxfId="277" dataDxfId="276" tableBorderDxfId="275">
  <autoFilter ref="B8:G39" xr:uid="{DCF59654-5215-43B6-A3B0-4136410C734B}"/>
  <tableColumns count="6">
    <tableColumn id="1" xr3:uid="{D9098A16-52EF-4D54-A5C6-B36D22C8F51F}" name=" الفترة_x000a_ Period   " dataDxfId="274"/>
    <tableColumn id="2" xr3:uid="{6584C7B0-4F0C-4635-881F-6C7DEC66E400}" name="إجمالي إيرادات السوق الرئيسية (تاسي) Main Market Total Revenues" dataDxfId="273"/>
    <tableColumn id="3" xr3:uid="{0E68EF8B-4C2E-4E40-8D6F-D65DAD53CC9B}" name="صافي دخل السوق الرئيسية (تاسي) Main Market Net Income" dataDxfId="272"/>
    <tableColumn id="4" xr3:uid="{C19AEC41-1A9E-47F9-9CCD-2FBBD73CD347}" name="حقوق المساهمين في السوق الرئيسية (تاسي) Main Market Shareholders Equity" dataDxfId="271"/>
    <tableColumn id="5" xr3:uid="{EE25409C-823C-4913-84D8-EDF8FBC5A77B}" name="إجمالي الأصول في السوق الرئيسية (تاسي)  Main Market Total Assets " dataDxfId="270"/>
    <tableColumn id="6" xr3:uid="{C0753C44-85A0-4838-B36D-029475848921}" name="إجمالي الدين**في السوق الرئيسية (تاسي) Main Market Total Debt**" dataDxfId="269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FA5D56AF-D172-4928-8459-31AB011D9AA6}" name="Table10" displayName="Table10" ref="A9:X29" totalsRowShown="0" headerRowDxfId="268" dataDxfId="267" tableBorderDxfId="266">
  <autoFilter ref="A9:X29" xr:uid="{85D2914D-98D1-44CD-920C-6D77DF4EB275}"/>
  <tableColumns count="24">
    <tableColumn id="1" xr3:uid="{A4E8447D-1970-4516-821F-FA3C9C3DBB1F}" name="الفترة_x000a_Period" dataDxfId="265"/>
    <tableColumn id="2" xr3:uid="{CC96D515-2215-440B-A7C6-18EDBA8648C1}" name="الربع   الأول عام 2019م_x000a_First quarter 2019" dataDxfId="264"/>
    <tableColumn id="3" xr3:uid="{611DBB5D-EB85-45C9-AC9D-4EE468D58746}" name="الربع الثاني عام  2019م_x000a_Second quarter 2019" dataDxfId="263"/>
    <tableColumn id="4" xr3:uid="{D7E0C9D2-7B53-4E7D-A875-E8ED6EF43041}" name="الربع الثالث عام  2019م_x000a_Third quarter 2019" dataDxfId="262"/>
    <tableColumn id="5" xr3:uid="{F4E526E9-BB5E-43E5-9270-4F61A884E68B}" name="العام  2019م_x000a_year 20119" dataDxfId="261"/>
    <tableColumn id="6" xr3:uid="{F065D9A1-A40B-4231-96D3-E1D6BB4A020D}" name="الربع   الأول عام 2020م_x000a_First quarter 2020" dataDxfId="260"/>
    <tableColumn id="7" xr3:uid="{A250EC4D-D79E-4B47-A0D7-47429BCEFAD4}" name="الربع   الثاني عام 2020م_x000a_Second quarter 2020" dataDxfId="259"/>
    <tableColumn id="8" xr3:uid="{BB7F760F-AC03-4AA3-82BB-6194574CCACB}" name="الربع   الثالث عام 2020م_x000a_Third quarter 2020" dataDxfId="258"/>
    <tableColumn id="9" xr3:uid="{A09D2C24-35E1-4E80-AEFA-A70CE8CCE426}" name="العام  2020م_x000a_year 2020" dataDxfId="257"/>
    <tableColumn id="10" xr3:uid="{53F293EC-2312-4B54-87D6-EFCC1F426BB2}" name="الربع   الأول عام 2021م_x000a_First quarter 2021" dataDxfId="256"/>
    <tableColumn id="11" xr3:uid="{EF2C006B-425F-41EC-8A61-13C1AED6E970}" name="الربع   الثاني عام 2021م_x000a_Second quarter 2021" dataDxfId="255"/>
    <tableColumn id="12" xr3:uid="{296A3E90-36B3-4922-B224-620E7DB21954}" name="الربع   الثالث عام 2021م_x000a_Third quarter 2021" dataDxfId="254"/>
    <tableColumn id="13" xr3:uid="{6E0DE5E3-D185-4197-9D7B-9D917AE19A81}" name=" عام  2021م_x000a_  2021" dataDxfId="253"/>
    <tableColumn id="14" xr3:uid="{6385343D-E535-4706-8E50-F27F53E00C7E}" name="الربع   الأول عام 2022م_x000a_First quarter 2022" dataDxfId="252"/>
    <tableColumn id="15" xr3:uid="{59807C48-164A-46F6-97D6-0B3E0E82E275}" name="الربع   الثاني عام 2022م_x000a_Second quarter 2022" dataDxfId="251"/>
    <tableColumn id="16" xr3:uid="{3A90FC43-E4A7-4005-8775-A23D0EFDD5D2}" name="الربع  الثالث عام 2022م_x000a_Third quarter 2022" dataDxfId="250"/>
    <tableColumn id="17" xr3:uid="{9FCD47BB-29AE-4945-85E8-06F752ED83E6}" name=" عام  2022م_x000a_ 2022" dataDxfId="249"/>
    <tableColumn id="18" xr3:uid="{7A934BA0-42FC-4707-8073-78913D294AAB}" name="الربع   الأول عام 2023م_x000a_First quarter 2023" dataDxfId="248"/>
    <tableColumn id="19" xr3:uid="{F2DC1723-CD2D-48FC-A550-7EBC9DAA439E}" name="الربع   الثاني عام 2023م_x000a_Second quarter 2023" dataDxfId="247"/>
    <tableColumn id="20" xr3:uid="{EA516C34-6201-4581-96ED-62AD7A654588}" name="الربع  الثالث عام 2023م_x000a_Third quarter 2023" dataDxfId="246"/>
    <tableColumn id="21" xr3:uid="{20EE145B-D1C7-4756-9028-8F975341DDC7}" name="عام 2023م_x000a_2023" dataDxfId="245"/>
    <tableColumn id="22" xr3:uid="{983B5C46-722C-924E-8F90-C86BA18FC948}" name="الربع الأول عام  2024م_x000a_First quarter 2024م " dataDxfId="244"/>
    <tableColumn id="23" xr3:uid="{F88C0A78-0EC1-CF44-85B7-3C394DEB72D8}" name="الربع الثاني عام  2024م_x000a_Second quarter 2024 " dataDxfId="243"/>
    <tableColumn id="24" xr3:uid="{2E8C0F70-B746-C140-B82E-F98CC9793210}" name="الربع الثالث عام 2024م_x000a_Third quarter 2024" dataDxfId="242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CD4D0267-BBD5-4488-8544-4CD39732BE09}" name="Table11" displayName="Table11" ref="A9:X29" totalsRowShown="0" headerRowDxfId="241" dataDxfId="240" tableBorderDxfId="239">
  <autoFilter ref="A9:X29" xr:uid="{F410D657-38BB-47E1-A9F4-E739008CFC97}"/>
  <tableColumns count="24">
    <tableColumn id="1" xr3:uid="{CD8DF5A7-A048-4A4B-856D-7E223E8607CE}" name="الفترة_x000a_Period" dataDxfId="238"/>
    <tableColumn id="2" xr3:uid="{97B1A9E3-9E91-45BF-9979-BFD4933ADCA9}" name="الربع   الأول عام 2019م_x000a_First quarter 2019" dataDxfId="237"/>
    <tableColumn id="3" xr3:uid="{64EA6948-81B0-4E51-87FC-029C476CB5C2}" name="الربع الثاني عام  2019م_x000a_Second quarter 2019" dataDxfId="236"/>
    <tableColumn id="4" xr3:uid="{58DC2D89-253A-4378-B0D3-94FC3ABA35BE}" name="الربع الثالث عام  2019م_x000a_Third quarter 2019" dataDxfId="235"/>
    <tableColumn id="5" xr3:uid="{EC7B03F8-DBC1-4D60-8F2D-57A62A371944}" name=" عام  2019م_x000a_ 2019" dataDxfId="234"/>
    <tableColumn id="6" xr3:uid="{11279717-93C2-4121-A394-340E081330DE}" name="الربع   الأول عام 2020م_x000a_First quarter 2020" dataDxfId="233"/>
    <tableColumn id="7" xr3:uid="{F854741D-5EFB-4F26-910C-1CC66C559D7D}" name="الربع   الثاني عام 2020م_x000a_Second quarter 2020" dataDxfId="232"/>
    <tableColumn id="8" xr3:uid="{E4102F82-98F8-4A79-9C19-4D6447E2C528}" name="الربع   الثالث عام 2020م_x000a_Third quarter 2020" dataDxfId="231"/>
    <tableColumn id="9" xr3:uid="{C535D012-0514-4F70-9BD3-1A07A5DDA17A}" name="عام  2020م_x000a_ 2020" dataDxfId="230"/>
    <tableColumn id="10" xr3:uid="{CD522BF8-3B4C-4802-9B25-AFB120AF9A6F}" name="الربع   الأول عام 2021م_x000a_First quarter 2021" dataDxfId="229"/>
    <tableColumn id="11" xr3:uid="{480B7349-6657-484E-97B9-B7A29CAFD621}" name="الربع   الثاني عام 2021م_x000a_Second quarter 2021" dataDxfId="228"/>
    <tableColumn id="12" xr3:uid="{5EFB76F1-22B8-4EB4-816D-D594722C5541}" name="الربع   الثالث عام 2021م_x000a_Third quarter 2021" dataDxfId="227"/>
    <tableColumn id="13" xr3:uid="{1999E6E4-1DE7-487F-BEF1-F52461B96403}" name=" عام  2021م_x000a_  2021" dataDxfId="226"/>
    <tableColumn id="14" xr3:uid="{E689B2DE-2C03-452A-8785-B5676D175D55}" name="الربع   الأول عام 2022م_x000a_First quarter 2022" dataDxfId="225"/>
    <tableColumn id="15" xr3:uid="{91561A42-1C47-4E9F-A9C8-245F017DA7B6}" name="الربع   الثاني عام 2022م_x000a_Second quarter 2022" dataDxfId="224"/>
    <tableColumn id="16" xr3:uid="{9C443E62-4500-40F3-B3B2-958F396643AE}" name="الربع  الثالث عام 2022م_x000a_Third quarter 2022" dataDxfId="223"/>
    <tableColumn id="17" xr3:uid="{3DF71C4D-84A6-4681-807D-DBF118F18AE6}" name=" عام  2022م_x000a_ 2022" dataDxfId="222"/>
    <tableColumn id="18" xr3:uid="{2CEC78AF-5CC7-4277-8981-585E78353A7F}" name="الربع   الأول عام 2023م_x000a_First quarter 2023" dataDxfId="221"/>
    <tableColumn id="19" xr3:uid="{86700D5D-7284-41B8-ADE9-C2F6D4D95EF1}" name="الربع   الثاني عام 2023م_x000a_Second quarter 2023" dataDxfId="220"/>
    <tableColumn id="20" xr3:uid="{7779DC30-2941-4D5F-8C61-65276E76CAF3}" name="الربع  الثالث عام 2023م_x000a_Third quarter 2023" dataDxfId="219"/>
    <tableColumn id="21" xr3:uid="{377DEBA4-C1C0-4B5A-95DF-60EA8CC69208}" name="عام 2023م_x000a_2023" dataDxfId="218"/>
    <tableColumn id="22" xr3:uid="{8C0FA431-3C1E-9349-8645-2FEEF205D51F}" name="الربع الأول عام  2024م_x000a_First quarter 2024م " dataDxfId="217"/>
    <tableColumn id="23" xr3:uid="{6CF51CA1-42CE-774F-90E8-513624699231}" name="الربع الثاني عام  2024م_x000a_Second quarter 2024 " dataDxfId="216"/>
    <tableColumn id="24" xr3:uid="{039FDFAC-3250-D748-8D54-D65E4F1CF0C3}" name="الربع الثالث عام 2024م_x000a_Third quarter 2024" dataDxfId="215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338A449F-7829-4803-9341-1E2FD0669D8D}" name="Table12" displayName="Table12" ref="A9:X29" totalsRowShown="0" headerRowDxfId="214" dataDxfId="213" tableBorderDxfId="212">
  <autoFilter ref="A9:X29" xr:uid="{F0313390-D947-4963-92CA-BB796C6A47F7}"/>
  <tableColumns count="24">
    <tableColumn id="1" xr3:uid="{A6584AB0-81B3-4456-B124-B3EAA80F7313}" name="الفترة_x000a_Period" dataDxfId="211"/>
    <tableColumn id="2" xr3:uid="{2D4CC808-1A4C-483F-9938-BF985E48CBE6}" name="الربع   الأول عام 2019م_x000a_First quarter 2019" dataDxfId="210"/>
    <tableColumn id="3" xr3:uid="{94E8A4AD-5C73-4998-A732-603A0A7930E6}" name="الربع الثاني عام  2019م_x000a_Second quarter 2019" dataDxfId="209"/>
    <tableColumn id="4" xr3:uid="{10F2771A-A9E6-47A4-8A12-04256B3AA04D}" name="الربع الثالث عام  2019م_x000a_Third quarter 2019" dataDxfId="208"/>
    <tableColumn id="5" xr3:uid="{EA572018-09FE-49D1-9B6E-6E22E2CFF79B}" name=" عام  2019م_x000a_ 2019" dataDxfId="207"/>
    <tableColumn id="6" xr3:uid="{83A2B739-33EC-427F-9056-2BFE03C1FA23}" name="الربع   الأول عام 2020م_x000a_First quarter 2020" dataDxfId="206"/>
    <tableColumn id="7" xr3:uid="{6CA8622B-AC16-40DD-82BB-BE87D78DB64B}" name="الربع   الثاني عام 2020م_x000a_Second quarter 2020" dataDxfId="205"/>
    <tableColumn id="8" xr3:uid="{A89A9217-9C7D-4616-9D01-F659B66C73E9}" name="الربع   الثالث عام 2020م_x000a_Third quarter 2020" dataDxfId="204"/>
    <tableColumn id="9" xr3:uid="{ABB3E64B-D570-47F7-A041-B272E816833E}" name="عام  2020م_x000a_ 2020" dataDxfId="203"/>
    <tableColumn id="10" xr3:uid="{93FCE4F4-D023-4D21-8328-2B8C745D9186}" name="الربع   الأول عام 2021م_x000a_First quarter 2021" dataDxfId="202"/>
    <tableColumn id="11" xr3:uid="{65C39A60-96D6-4DE3-9C3C-9F40684267C3}" name="الربع   الثاني عام 2021م_x000a_Second quarter 2021" dataDxfId="201"/>
    <tableColumn id="12" xr3:uid="{E032A8E2-37C3-40C9-8423-467E923563DF}" name="الربع   الثالث عام 2021م_x000a_Third quarter 2021" dataDxfId="200"/>
    <tableColumn id="13" xr3:uid="{A207659A-2101-4EF7-B6CD-BD078E0C92E1}" name=" عام  2021م_x000a_  2021" dataDxfId="199"/>
    <tableColumn id="14" xr3:uid="{F484FAEB-616E-446A-95F9-7EB2B94E7D63}" name="الربع   الأول عام 2022م_x000a_First quarter 2022" dataDxfId="198"/>
    <tableColumn id="15" xr3:uid="{E97D0190-99AD-47E4-BD8E-E7E9CB36C2B9}" name="الربع   الثاني عام 2022م_x000a_Second quarter 2022" dataDxfId="197"/>
    <tableColumn id="16" xr3:uid="{B0354BE7-4619-4ADA-8A22-2950A4320B62}" name="الربع  الثالث عام 2022م_x000a_Third quarter 2022" dataDxfId="196"/>
    <tableColumn id="17" xr3:uid="{CAA5B81B-4EE1-4867-9F35-306CAC13AB58}" name=" عام  2022م_x000a_ 2022" dataDxfId="195"/>
    <tableColumn id="18" xr3:uid="{F2F61521-F2C7-4BEF-A269-B60AF99A79C0}" name="الربع   الأول عام 2023م_x000a_First quarter 2023" dataDxfId="194"/>
    <tableColumn id="19" xr3:uid="{C2054B98-F874-4508-8914-97C05EB315FF}" name="الربع   الثاني عام 2023م_x000a_Second quarter 2023" dataDxfId="193"/>
    <tableColumn id="20" xr3:uid="{F3C03162-6803-4C2D-8130-BC9C4C63C4E6}" name="الربع  الثالث عام 2023م_x000a_Third quarter 2023" dataDxfId="192"/>
    <tableColumn id="21" xr3:uid="{C8789D58-3D52-425E-A0C1-66B4693B7499}" name="عام 2023م_x000a_2023" dataDxfId="191"/>
    <tableColumn id="22" xr3:uid="{7231EF33-E2C8-B24B-B322-ACC00E916B7A}" name="الربع الأول عام  2024م_x000a_First quarter 2024م " dataDxfId="190"/>
    <tableColumn id="23" xr3:uid="{1642D017-1BFF-C347-8C75-CAC79F548BA7}" name="الربع الثاني عام  2024م_x000a_Second quarter 2024 " dataDxfId="189"/>
    <tableColumn id="24" xr3:uid="{90582A78-D3CA-B746-9640-99CAA0FFC27E}" name="الربع الثالث عام 2024م_x000a_Third quarter 2024" dataDxfId="188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44CD1D64-228E-40EF-9B74-5AF13F211E9D}" name="Table13" displayName="Table13" ref="A9:X29" totalsRowShown="0" headerRowDxfId="187" dataDxfId="186" tableBorderDxfId="185">
  <autoFilter ref="A9:X29" xr:uid="{9B92A10E-09A4-410B-BC6D-40FDA7850342}"/>
  <tableColumns count="24">
    <tableColumn id="1" xr3:uid="{7E9BDCDA-FBBE-4ED2-900F-7AD83656D2E7}" name="الفترة Period" dataDxfId="184"/>
    <tableColumn id="2" xr3:uid="{11361C50-52B3-4299-9849-0D8C660240DD}" name="الربع   الأول عام 2019م_x000a_First quarter 2019" dataDxfId="183"/>
    <tableColumn id="3" xr3:uid="{E394DA4C-573B-4502-A6B4-F23653C6A800}" name="الربع الثاني عام  2019م_x000a_Second quarter 2019" dataDxfId="182"/>
    <tableColumn id="4" xr3:uid="{EA6E27D0-8D5D-4A0C-8F49-6FEEEDD9306A}" name="الربع الثالث عام  2019م_x000a_Third quarter 2019" dataDxfId="181"/>
    <tableColumn id="5" xr3:uid="{74ADE1BD-0D30-4DA9-801B-5C22C2246970}" name=" عام  2019م_x000a_ 2019" dataDxfId="180"/>
    <tableColumn id="6" xr3:uid="{7E6A323F-2E9E-4AE5-9A96-DEEEFFF7F3B2}" name="الربع   الأول عام 2020م_x000a_First quarter 2020" dataDxfId="179"/>
    <tableColumn id="7" xr3:uid="{61E9891A-194D-4A7D-B7B8-1A3A4F595F22}" name="الربع   الثاني عام 2020م_x000a_Second quarter 2020" dataDxfId="178"/>
    <tableColumn id="8" xr3:uid="{D404AB49-3E52-43F2-88E2-D20ED3208FE4}" name="الربع   الثالث عام 2020م_x000a_Third quarter 2020" dataDxfId="177"/>
    <tableColumn id="9" xr3:uid="{F9BC779C-4CA0-4E30-A9F0-06B3AEA885C7}" name="عام  2020م_x000a_ 2020" dataDxfId="176"/>
    <tableColumn id="10" xr3:uid="{D465A406-92AA-425F-8F94-AF7ED1B5FB83}" name="الربع   الأول عام 2021م_x000a_First quarter 2021" dataDxfId="175"/>
    <tableColumn id="11" xr3:uid="{6C5F1D53-9D65-41E3-9339-80E5611137DA}" name="الربع   الثاني عام 2021م_x000a_Second quarter 2021" dataDxfId="174"/>
    <tableColumn id="12" xr3:uid="{F6D32CE9-82F6-454C-841C-C565D006A7C3}" name="الربع   الثالث عام 2021م_x000a_Third quarter 2021" dataDxfId="173"/>
    <tableColumn id="13" xr3:uid="{AAB8B029-7F47-418C-9836-6022A8F1AB23}" name=" عام  2021م_x000a_  2021" dataDxfId="172"/>
    <tableColumn id="14" xr3:uid="{E2C07B3B-3F59-4359-93B8-A8B6411C510F}" name="الربع   الأول عام 2022م_x000a_First quarter 2022" dataDxfId="171"/>
    <tableColumn id="15" xr3:uid="{3DA29104-6F0D-4C03-A6F8-95A969FAF557}" name="الربع   الثاني عام 2022م_x000a_Second quarter 2022" dataDxfId="170"/>
    <tableColumn id="16" xr3:uid="{8BA41BBE-7745-4074-B4AE-6AF0D1D74DE1}" name="الربع  الثالث عام 2022م_x000a_Third quarter 2022" dataDxfId="169"/>
    <tableColumn id="17" xr3:uid="{C8FE3C24-A04D-4271-BCB9-0EAAFB6CC181}" name=" عام  2022م_x000a_ 2022" dataDxfId="168"/>
    <tableColumn id="18" xr3:uid="{B0EA8504-B813-40E1-A168-11BAAA34FD34}" name="الربع   الأول عام 2023م_x000a_First quarter 2023" dataDxfId="167"/>
    <tableColumn id="19" xr3:uid="{826646E6-04E3-40E8-96B8-6DF9691D9736}" name="الربع   الثاني عام 2023م_x000a_Second quarter 2023" dataDxfId="166"/>
    <tableColumn id="20" xr3:uid="{706580D2-9FEC-41AE-BDD2-635B1059D7F9}" name="الربع  الثالث عام 2023م_x000a_Third quarter 2023" dataDxfId="165"/>
    <tableColumn id="21" xr3:uid="{70793757-FBDF-41F0-A63E-A449F78F8F37}" name="عام 2023م_x000a_2023" dataDxfId="164"/>
    <tableColumn id="22" xr3:uid="{F8F53713-E963-EB44-98D9-7F15D8414AEF}" name="الربع الأول عام  2024م_x000a_First quarter 2024م " dataDxfId="163"/>
    <tableColumn id="23" xr3:uid="{37A03011-99FA-5C46-8F61-AB0D6C133A19}" name="الربع الثاني عام  2024م_x000a_Second quarter 2024 " dataDxfId="162"/>
    <tableColumn id="24" xr3:uid="{3F646E3D-23CD-F54B-8A09-A7E33E795DBF}" name="الربع الثالث عام 2024م_x000a_Third quarter 2024" dataDxfId="161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B61E8ABC-2F17-47CA-A44F-A62AEFB71604}" name="Table14" displayName="Table14" ref="A8:X28" totalsRowShown="0" headerRowDxfId="160" dataDxfId="159" tableBorderDxfId="158">
  <autoFilter ref="A8:X28" xr:uid="{24A8159A-E133-4F6F-9015-44C77F757DAA}"/>
  <tableColumns count="24">
    <tableColumn id="1" xr3:uid="{89917755-CF23-4E1D-BF37-18B54D30BEDF}" name="الفترة Period" dataDxfId="157"/>
    <tableColumn id="2" xr3:uid="{B8908C2C-EBB8-402E-97DE-0EFB5454EB29}" name="الربع الأول عام 2019م_x000a_First quarter 2019" dataDxfId="156"/>
    <tableColumn id="3" xr3:uid="{D053DACB-E590-4A2B-8583-C6D1287D203B}" name="الربع الثاني عام  2019م_x000a_Second quarter 2019" dataDxfId="155"/>
    <tableColumn id="4" xr3:uid="{FA9460BD-B18F-4A90-8037-B0A14F992628}" name="الربع الثالث عام  2019م_x000a_Third quarter 2019" dataDxfId="154"/>
    <tableColumn id="5" xr3:uid="{0EAFFE0D-2EF7-46CE-80D1-1298D8BEA0C4}" name=" عام  2019م_x000a_ 2019" dataDxfId="153"/>
    <tableColumn id="6" xr3:uid="{8ED3AB6C-5FE5-4E2D-A171-2895BE64597A}" name="الربع   الأول عام 2020م_x000a_First quarter 2020" dataDxfId="152"/>
    <tableColumn id="7" xr3:uid="{D0948792-5FA6-4651-8FCB-568DA2FADCAE}" name="الربع   الثاني عام 2020م_x000a_Second quarter 2020" dataDxfId="151"/>
    <tableColumn id="8" xr3:uid="{F86C5C98-2597-4A9B-818D-7247DBF759F8}" name="الربع   الثالث عام 2020م_x000a_Third quarter 2020" dataDxfId="150"/>
    <tableColumn id="9" xr3:uid="{DF49F54E-56E8-471F-82AF-E4EF29C5F997}" name="عام  2020م_x000a_ 2020" dataDxfId="149"/>
    <tableColumn id="10" xr3:uid="{370F9AC2-7B00-47EE-8CA8-0497423D8BD8}" name="الربع   الأول عام 2021م_x000a_First quarter 2021" dataDxfId="148"/>
    <tableColumn id="11" xr3:uid="{78D96403-08B9-4D86-9FD1-14CC686D5D5F}" name="الربع   الثاني عام 2021م_x000a_Second quarter 2021" dataDxfId="147"/>
    <tableColumn id="12" xr3:uid="{FE79A63D-ECAE-480A-86DD-BDBE45B52954}" name="الربع   الثالث عام 2021م_x000a_Third quarter 2021" dataDxfId="146"/>
    <tableColumn id="13" xr3:uid="{0791960E-A1C8-4119-8DB2-3C7A8FBD052E}" name=" عام  2021م_x000a_  2021" dataDxfId="145"/>
    <tableColumn id="14" xr3:uid="{CBC3DFBF-A9D7-487E-804A-0760C8D2433C}" name="الربع   الأول عام 2022م_x000a_First quarter 2022" dataDxfId="144"/>
    <tableColumn id="15" xr3:uid="{B6C684A0-ED17-4FB3-B04E-DB6A08F4D6D7}" name="الربع   الثاني عام 2022م_x000a_Second quarter 2022" dataDxfId="143"/>
    <tableColumn id="16" xr3:uid="{2B13C51E-3028-40A1-B61E-F3E6B9C50ED0}" name="الربع  الثالث عام 2022م_x000a_Third quarter 2022" dataDxfId="142"/>
    <tableColumn id="17" xr3:uid="{80B212B9-B87A-4B6D-B08E-C4DAC2452960}" name=" عام  2022م_x000a_ 2022" dataDxfId="141"/>
    <tableColumn id="18" xr3:uid="{7B913DC7-C40B-4736-9FEA-0D5279680631}" name="الربع   الأول عام 2023م_x000a_First quarter 2023" dataDxfId="140"/>
    <tableColumn id="19" xr3:uid="{AD5DD7AE-1AFC-47C5-B01E-B9929622706C}" name="الربع   الثاني عام 2023م_x000a_Second quarter 2023" dataDxfId="139"/>
    <tableColumn id="20" xr3:uid="{593DE7D0-1A49-4D7F-95FD-5A1D93F2FCDE}" name="الربع  الثالث عام 2023م_x000a_Third quarter 2023" dataDxfId="138"/>
    <tableColumn id="21" xr3:uid="{D7416085-4928-4005-B1F8-0285F9C05A5C}" name="عام 2023م_x000a_2023" dataDxfId="137"/>
    <tableColumn id="22" xr3:uid="{EC350FAE-89B0-4D45-A2F4-4E194B0BBD7E}" name="الربع الأول عام  2024م_x000a_First quarter 2024م " dataDxfId="136"/>
    <tableColumn id="23" xr3:uid="{2E29F4DD-0F0A-2A4B-8DA9-0B7E9097F1BD}" name="الربع الثاني عام  2024م_x000a_Second quarter 2024 " dataDxfId="135"/>
    <tableColumn id="24" xr3:uid="{49B953E0-9C24-AF41-90C6-7B5B8C8E62A3}" name="الربع الثالث عام 2024م_x000a_Third quarter 2024" dataDxfId="134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7847732E-3D10-475C-A4D1-AF403A0B4722}" name="Table15" displayName="Table15" ref="A9:H24" totalsRowShown="0" headerRowDxfId="133" dataDxfId="132" tableBorderDxfId="131">
  <autoFilter ref="A9:H24" xr:uid="{310F3AEF-541C-4B29-8C2F-AAE44028B128}"/>
  <tableColumns count="8">
    <tableColumn id="1" xr3:uid="{9086D2A5-94CE-4987-A42F-7BE083E55B00}" name="الفترة Period" dataDxfId="130" totalsRowDxfId="129"/>
    <tableColumn id="2" xr3:uid="{7171876F-3978-405D-B805-76C5FFFDB893}" name="النصف الأول عام 2021م_x000a_First Half 2021" dataDxfId="128" totalsRowDxfId="127"/>
    <tableColumn id="3" xr3:uid="{F157F0DC-7DF4-49CF-A038-492BC37B83EB}" name=" عام 2021م_x000a_2021" dataDxfId="126" totalsRowDxfId="125"/>
    <tableColumn id="4" xr3:uid="{F8BA7297-40D6-4024-88B9-16943E5B6D65}" name="النصف الأول عام 2022م_x000a_First Half 2022" dataDxfId="124" totalsRowDxfId="123"/>
    <tableColumn id="5" xr3:uid="{06531816-6C19-4F8B-8EF7-7C171C39438D}" name=" عام 2022م_x000a_ 2022" dataDxfId="122" totalsRowDxfId="121"/>
    <tableColumn id="6" xr3:uid="{CCAEFC96-CFB7-4A8D-AA37-5CAB9DE909F3}" name="النصف الأول عام 2023م_x000a_First Half 2023" dataDxfId="120" totalsRowDxfId="119"/>
    <tableColumn id="7" xr3:uid="{5FDAA09F-293B-4627-8B4D-368CB3A7CD6D}" name="عام 2023م_x000a_2023" dataDxfId="118" totalsRowDxfId="117"/>
    <tableColumn id="8" xr3:uid="{799F93FC-335D-0A45-A935-ABBF58039348}" name="النصف الأول عام 2024م_x000a_First Half 2024" dataDxfId="116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.x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9.x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pageSetUpPr autoPageBreaks="0"/>
  </sheetPr>
  <dimension ref="B1:N53"/>
  <sheetViews>
    <sheetView showGridLines="0" showRowColHeaders="0" rightToLeft="1" topLeftCell="A13" zoomScale="85" zoomScaleNormal="85" workbookViewId="0">
      <selection activeCell="D9" sqref="D9:H9"/>
    </sheetView>
  </sheetViews>
  <sheetFormatPr defaultColWidth="12.42578125" defaultRowHeight="15"/>
  <cols>
    <col min="1" max="1" width="8.85546875" style="26" customWidth="1"/>
    <col min="2" max="2" width="79" style="26" bestFit="1" customWidth="1"/>
    <col min="3" max="7" width="12.42578125" style="26"/>
    <col min="8" max="8" width="27.42578125" style="26" customWidth="1"/>
    <col min="9" max="16384" width="12.42578125" style="26"/>
  </cols>
  <sheetData>
    <row r="1" spans="2:14" ht="15" customHeight="1">
      <c r="B1" s="186" t="s">
        <v>630</v>
      </c>
      <c r="C1" s="186"/>
      <c r="D1" s="186"/>
      <c r="E1" s="186"/>
      <c r="F1" s="186"/>
      <c r="G1" s="186"/>
      <c r="H1" s="186"/>
    </row>
    <row r="2" spans="2:14" ht="15" customHeight="1">
      <c r="B2" s="186"/>
      <c r="C2" s="186"/>
      <c r="D2" s="186"/>
      <c r="E2" s="186"/>
      <c r="F2" s="186"/>
      <c r="G2" s="186"/>
      <c r="H2" s="186"/>
    </row>
    <row r="3" spans="2:14" ht="15" customHeight="1">
      <c r="B3" s="186"/>
      <c r="C3" s="186"/>
      <c r="D3" s="186"/>
      <c r="E3" s="186"/>
      <c r="F3" s="186"/>
      <c r="G3" s="186"/>
      <c r="H3" s="186"/>
    </row>
    <row r="4" spans="2:14" ht="15" customHeight="1">
      <c r="B4" s="186"/>
      <c r="C4" s="186"/>
      <c r="D4" s="186"/>
      <c r="E4" s="186"/>
      <c r="F4" s="186"/>
      <c r="G4" s="186"/>
      <c r="H4" s="186"/>
    </row>
    <row r="5" spans="2:14" ht="15" customHeight="1">
      <c r="B5" s="186"/>
      <c r="C5" s="186"/>
      <c r="D5" s="186"/>
      <c r="E5" s="186"/>
      <c r="F5" s="186"/>
      <c r="G5" s="186"/>
      <c r="H5" s="186"/>
    </row>
    <row r="6" spans="2:14" ht="5.25" customHeight="1"/>
    <row r="7" spans="2:14" ht="33" customHeight="1">
      <c r="B7" s="187" t="s">
        <v>65</v>
      </c>
      <c r="C7" s="188"/>
      <c r="D7" s="188"/>
      <c r="E7" s="188"/>
      <c r="F7" s="188"/>
      <c r="G7" s="188"/>
      <c r="H7" s="188"/>
    </row>
    <row r="8" spans="2:14">
      <c r="B8" s="75"/>
    </row>
    <row r="9" spans="2:14" ht="30.95" customHeight="1">
      <c r="B9" s="161" t="s">
        <v>631</v>
      </c>
      <c r="C9" s="160"/>
      <c r="D9" s="182" t="s">
        <v>650</v>
      </c>
      <c r="E9" s="182"/>
      <c r="F9" s="182"/>
      <c r="G9" s="182"/>
      <c r="H9" s="182"/>
    </row>
    <row r="10" spans="2:14" ht="30.95" customHeight="1">
      <c r="B10" s="162" t="s">
        <v>632</v>
      </c>
      <c r="C10" s="76"/>
      <c r="D10" s="183" t="s">
        <v>651</v>
      </c>
      <c r="E10" s="183"/>
      <c r="F10" s="183"/>
      <c r="G10" s="183"/>
      <c r="H10" s="183"/>
    </row>
    <row r="11" spans="2:14" ht="30.95" customHeight="1">
      <c r="B11" s="161" t="s">
        <v>633</v>
      </c>
      <c r="C11" s="61"/>
      <c r="D11" s="190" t="s">
        <v>652</v>
      </c>
      <c r="E11" s="190"/>
      <c r="F11" s="190"/>
      <c r="G11" s="190"/>
      <c r="H11" s="190"/>
    </row>
    <row r="12" spans="2:14" ht="30.95" customHeight="1">
      <c r="B12" s="162" t="s">
        <v>634</v>
      </c>
      <c r="C12" s="62"/>
      <c r="D12" s="185" t="s">
        <v>653</v>
      </c>
      <c r="E12" s="185"/>
      <c r="F12" s="185"/>
      <c r="G12" s="185"/>
      <c r="H12" s="185"/>
    </row>
    <row r="13" spans="2:14" ht="30.95" customHeight="1">
      <c r="B13" s="161" t="s">
        <v>635</v>
      </c>
      <c r="C13" s="63"/>
      <c r="D13" s="184" t="s">
        <v>654</v>
      </c>
      <c r="E13" s="184"/>
      <c r="F13" s="184"/>
      <c r="G13" s="184"/>
      <c r="H13" s="184"/>
    </row>
    <row r="14" spans="2:14" ht="30.95" customHeight="1">
      <c r="B14" s="162" t="s">
        <v>636</v>
      </c>
      <c r="C14" s="62"/>
      <c r="D14" s="183" t="s">
        <v>655</v>
      </c>
      <c r="E14" s="183"/>
      <c r="F14" s="183"/>
      <c r="G14" s="183"/>
      <c r="H14" s="183"/>
      <c r="N14" s="64"/>
    </row>
    <row r="15" spans="2:14" ht="30.95" customHeight="1">
      <c r="B15" s="161" t="s">
        <v>637</v>
      </c>
      <c r="C15" s="63"/>
      <c r="D15" s="184" t="s">
        <v>656</v>
      </c>
      <c r="E15" s="184"/>
      <c r="F15" s="184"/>
      <c r="G15" s="184"/>
      <c r="H15" s="184"/>
      <c r="N15" s="64"/>
    </row>
    <row r="16" spans="2:14" ht="30.95" customHeight="1">
      <c r="B16" s="162" t="s">
        <v>638</v>
      </c>
      <c r="C16" s="62"/>
      <c r="D16" s="183" t="s">
        <v>657</v>
      </c>
      <c r="E16" s="183"/>
      <c r="F16" s="183"/>
      <c r="G16" s="183"/>
      <c r="H16" s="183"/>
    </row>
    <row r="17" spans="2:8" ht="30.95" customHeight="1">
      <c r="B17" s="161" t="s">
        <v>639</v>
      </c>
      <c r="C17" s="63"/>
      <c r="D17" s="184" t="s">
        <v>658</v>
      </c>
      <c r="E17" s="184"/>
      <c r="F17" s="184"/>
      <c r="G17" s="184"/>
      <c r="H17" s="184"/>
    </row>
    <row r="18" spans="2:8" ht="30.95" customHeight="1">
      <c r="B18" s="162" t="s">
        <v>640</v>
      </c>
      <c r="C18" s="62"/>
      <c r="D18" s="183" t="s">
        <v>659</v>
      </c>
      <c r="E18" s="183"/>
      <c r="F18" s="183"/>
      <c r="G18" s="183"/>
      <c r="H18" s="183"/>
    </row>
    <row r="19" spans="2:8" ht="30.95" customHeight="1">
      <c r="B19" s="161" t="s">
        <v>641</v>
      </c>
      <c r="C19" s="63"/>
      <c r="D19" s="184" t="s">
        <v>660</v>
      </c>
      <c r="E19" s="184"/>
      <c r="F19" s="184"/>
      <c r="G19" s="184"/>
      <c r="H19" s="184"/>
    </row>
    <row r="20" spans="2:8" ht="30.95" customHeight="1">
      <c r="B20" s="162" t="s">
        <v>642</v>
      </c>
      <c r="C20" s="62"/>
      <c r="D20" s="183" t="s">
        <v>661</v>
      </c>
      <c r="E20" s="183"/>
      <c r="F20" s="183"/>
      <c r="G20" s="183"/>
      <c r="H20" s="183"/>
    </row>
    <row r="21" spans="2:8" ht="30.95" customHeight="1">
      <c r="B21" s="161" t="s">
        <v>643</v>
      </c>
      <c r="C21" s="63"/>
      <c r="D21" s="184" t="s">
        <v>662</v>
      </c>
      <c r="E21" s="184"/>
      <c r="F21" s="184"/>
      <c r="G21" s="184"/>
      <c r="H21" s="184"/>
    </row>
    <row r="22" spans="2:8" ht="30.95" customHeight="1">
      <c r="B22" s="162" t="s">
        <v>644</v>
      </c>
      <c r="C22" s="65"/>
      <c r="D22" s="183" t="s">
        <v>663</v>
      </c>
      <c r="E22" s="183"/>
      <c r="F22" s="183"/>
      <c r="G22" s="183"/>
      <c r="H22" s="183"/>
    </row>
    <row r="23" spans="2:8" ht="36.75" customHeight="1">
      <c r="B23" s="161" t="s">
        <v>645</v>
      </c>
      <c r="C23" s="61"/>
      <c r="D23" s="184" t="s">
        <v>664</v>
      </c>
      <c r="E23" s="184"/>
      <c r="F23" s="184"/>
      <c r="G23" s="184"/>
      <c r="H23" s="184"/>
    </row>
    <row r="24" spans="2:8" ht="30.95" customHeight="1">
      <c r="B24" s="162" t="s">
        <v>646</v>
      </c>
      <c r="C24" s="65"/>
      <c r="D24" s="183" t="s">
        <v>665</v>
      </c>
      <c r="E24" s="183"/>
      <c r="F24" s="183"/>
      <c r="G24" s="183"/>
      <c r="H24" s="183"/>
    </row>
    <row r="25" spans="2:8" ht="30.95" customHeight="1">
      <c r="B25" s="161" t="s">
        <v>647</v>
      </c>
      <c r="C25" s="61"/>
      <c r="D25" s="184" t="s">
        <v>666</v>
      </c>
      <c r="E25" s="184"/>
      <c r="F25" s="184"/>
      <c r="G25" s="184"/>
      <c r="H25" s="184"/>
    </row>
    <row r="26" spans="2:8" ht="30.95" customHeight="1">
      <c r="B26" s="162" t="s">
        <v>648</v>
      </c>
      <c r="C26" s="66"/>
      <c r="D26" s="189" t="s">
        <v>667</v>
      </c>
      <c r="E26" s="189"/>
      <c r="F26" s="189"/>
      <c r="G26" s="189"/>
      <c r="H26" s="189"/>
    </row>
    <row r="27" spans="2:8" ht="30.95" customHeight="1">
      <c r="B27" s="67" t="s">
        <v>649</v>
      </c>
      <c r="C27" s="67"/>
      <c r="D27" s="77"/>
      <c r="E27" s="77"/>
      <c r="F27" s="77"/>
      <c r="G27" s="77"/>
      <c r="H27" s="98" t="s">
        <v>668</v>
      </c>
    </row>
    <row r="28" spans="2:8" ht="20.25" customHeight="1"/>
    <row r="29" spans="2:8" ht="20.25" customHeight="1"/>
    <row r="30" spans="2:8" ht="20.25" customHeight="1">
      <c r="B30" s="55"/>
    </row>
    <row r="31" spans="2:8" ht="20.25" customHeight="1"/>
    <row r="32" spans="2:8" ht="20.25" customHeight="1"/>
    <row r="33" spans="3:3" ht="20.25" customHeight="1"/>
    <row r="34" spans="3:3" ht="20.25" customHeight="1"/>
    <row r="35" spans="3:3" ht="20.25" customHeight="1">
      <c r="C35" s="97"/>
    </row>
    <row r="36" spans="3:3">
      <c r="C36" s="97"/>
    </row>
    <row r="37" spans="3:3">
      <c r="C37" s="97"/>
    </row>
    <row r="38" spans="3:3">
      <c r="C38" s="96"/>
    </row>
    <row r="39" spans="3:3">
      <c r="C39" s="96"/>
    </row>
    <row r="40" spans="3:3">
      <c r="C40" s="96"/>
    </row>
    <row r="41" spans="3:3">
      <c r="C41" s="96"/>
    </row>
    <row r="42" spans="3:3">
      <c r="C42" s="96"/>
    </row>
    <row r="43" spans="3:3">
      <c r="C43" s="96"/>
    </row>
    <row r="44" spans="3:3">
      <c r="C44" s="96"/>
    </row>
    <row r="45" spans="3:3">
      <c r="C45" s="96"/>
    </row>
    <row r="46" spans="3:3">
      <c r="C46" s="96"/>
    </row>
    <row r="47" spans="3:3">
      <c r="C47" s="96"/>
    </row>
    <row r="48" spans="3:3">
      <c r="C48" s="96"/>
    </row>
    <row r="49" spans="3:3">
      <c r="C49" s="96"/>
    </row>
    <row r="50" spans="3:3">
      <c r="C50" s="96"/>
    </row>
    <row r="51" spans="3:3">
      <c r="C51" s="96"/>
    </row>
    <row r="52" spans="3:3">
      <c r="C52" s="96"/>
    </row>
    <row r="53" spans="3:3">
      <c r="C53" s="96"/>
    </row>
  </sheetData>
  <mergeCells count="20">
    <mergeCell ref="D23:H23"/>
    <mergeCell ref="D24:H24"/>
    <mergeCell ref="D25:H25"/>
    <mergeCell ref="D26:H26"/>
    <mergeCell ref="D11:H11"/>
    <mergeCell ref="D14:H14"/>
    <mergeCell ref="D15:H15"/>
    <mergeCell ref="D22:H22"/>
    <mergeCell ref="D16:H16"/>
    <mergeCell ref="D18:H18"/>
    <mergeCell ref="D19:H19"/>
    <mergeCell ref="D20:H20"/>
    <mergeCell ref="D21:H21"/>
    <mergeCell ref="D17:H17"/>
    <mergeCell ref="D9:H9"/>
    <mergeCell ref="D10:H10"/>
    <mergeCell ref="D13:H13"/>
    <mergeCell ref="D12:H12"/>
    <mergeCell ref="B1:H5"/>
    <mergeCell ref="B7:H7"/>
  </mergeCells>
  <hyperlinks>
    <hyperlink ref="B22" location="' عدد محافظ الأفراد - تاسي'!A1" display="جدول رقم (20):   عدد محافظ الأفراد في سوق الأسهم مصنفين حسب الجنس" xr:uid="{00000000-0004-0000-0300-000000000000}"/>
    <hyperlink ref="B23" location="' قيم ونسب الملكية - تاسي'!A1" display="جدول رقم (21):   قيم ونسب الملكية في سوق الأسهم حسب نوع المستثمر" xr:uid="{00000000-0004-0000-0300-000001000000}"/>
    <hyperlink ref="B24" location="'قيم ونسب الملكية حسب السلوك'!A1" display="جدول رقم (22):  قيم ونسب الملكية في سوق الأسهم حسب تصنيف المستثمر وفقاً للسلوك الاستثماري" xr:uid="{00000000-0004-0000-0300-000002000000}"/>
    <hyperlink ref="B25" location="'قيم ونسب التداولات - تاسي'!A1" display="جدول رقم (23):  قيم ونسب التداولات في سوق الأسهم حسب نوع المستثمر " xr:uid="{00000000-0004-0000-0300-000003000000}"/>
    <hyperlink ref="B26" location="'قيم ونسب التداولات حسب السلوك'!A1" display="جدول رقم (24):  قيم ونسب التداولات في سوق الأسهم حسب تصنيف المستثمر وفقاً للسلوك الاستثماري" xr:uid="{00000000-0004-0000-0300-000004000000}"/>
    <hyperlink ref="B11" location="'المؤشرات المالية لسوق الأسهم'!A1" display="جدول رقم (9):  المؤشرات المالية الإجمالية في سوق الأسهم " xr:uid="{00000000-0004-0000-0300-000005000000}"/>
    <hyperlink ref="B12" location="'إجمالي الإيرادات - تاسي'!A1" display="جدول رقم (10): إجمالي  إيرادات القطاعات  للسوق الرئيسية " xr:uid="{00000000-0004-0000-0300-000006000000}"/>
    <hyperlink ref="B14" location="'إجمالي الأصول - تاسي'!A1" display="جدول رقم (12):  إجمالي حقوق المساهمين للقطاعات السوق الرئيسية " xr:uid="{00000000-0004-0000-0300-000007000000}"/>
    <hyperlink ref="B16" location="'اجمالي الدين - تاسي'!A1" display="جدول رقم (14):  إجمالي دين القطاعات  للسوق الرئيسية " xr:uid="{00000000-0004-0000-0300-000008000000}"/>
    <hyperlink ref="B18" location="'صافي الدخل - نمو'!A1" display="جدول رقم (16): صافي  دخل القطاعات  لسوق نمو" xr:uid="{00000000-0004-0000-0300-000009000000}"/>
    <hyperlink ref="B20" location="'إجمالي الأصول - نمو'!A1" display="جدول رقم (18):  إجمالي أصول القطاعات  لسوق نمو" xr:uid="{00000000-0004-0000-0300-00000A000000}"/>
    <hyperlink ref="B10" location="'مؤشرات سوق الأسهم - نمو'!A1" display="جدول رقم (8): مؤشرات سوق الأسهم للسوق الموازية نمو" xr:uid="{00000000-0004-0000-0300-00000B000000}"/>
    <hyperlink ref="B9" location="'مؤشرات سوق الأسهم الرئيسية'!A1" display="جدول رقم (7):  مؤشرات سوق الأسهم الرئيسية" xr:uid="{00000000-0004-0000-0300-00000C000000}"/>
    <hyperlink ref="B13" location="'صافي الدخل - تاسي'!A1" display="جدول رقم (11): صافي  دخل القطاعات  للسوق الرئيسية " xr:uid="{00000000-0004-0000-0300-00000D000000}"/>
    <hyperlink ref="B15" location="'إجمالي الأصول - تاسي'!A1" display="جدول رقم (13):  إجمالي أصول القطاعات  للسوق الرئيسية " xr:uid="{00000000-0004-0000-0300-00000E000000}"/>
    <hyperlink ref="B17" location="' إجمالي الإيرادات - نمو'!A1" display="جدول رقم (15): إجمالي  إيرادات القطاعات  لسوق نمو" xr:uid="{00000000-0004-0000-0300-00000F000000}"/>
    <hyperlink ref="B19" location="'إجمالي حقوق المساهمين - نمو'!A1" display="جدول رقم (17):  إجمالي حقوق المساهمين للقطاعات سوق نمو" xr:uid="{00000000-0004-0000-0300-000010000000}"/>
    <hyperlink ref="B21" location="'إجمالي الدين - نمو'!A1" display="جدول رقم (19):  إجمالي دين القطاعات  لسوق نمو" xr:uid="{00000000-0004-0000-0300-000011000000}"/>
    <hyperlink ref="B27" location="'التداولات خارج المنصة'!A1" display="جدول رقم (25):  التداولات خارج المنصة" xr:uid="{00000000-0004-0000-0300-000012000000}"/>
    <hyperlink ref="D9:H9" location="'مؤشرات سوق الأسهم الرئيسية'!A1" display="Table (7): Stock Market Indicators" xr:uid="{B6AE4379-32AA-4A82-AF8D-0033CF9C6B76}"/>
    <hyperlink ref="D10:H10" location="'مؤشرات سوق الأسهم - نمو'!A1" display="Table (8): Stock Market Indicators Parallel Market (NOMU)" xr:uid="{A3E2A858-F261-413D-A66C-B5DECF7E7D63}"/>
    <hyperlink ref="D11:H11" location="'المؤشرات المالية لسوق الأسهم'!A1" display="Table (9): Financial indicators (Main Market)" xr:uid="{8B6536BC-EEDD-484C-A695-A92145CD538D}"/>
    <hyperlink ref="D12:H12" location="'إجمالي الإيرادات - تاسي'!A1" display="Table (10): Total Revenue By Sector (Main Market)" xr:uid="{5C3C52D2-2CAA-40EA-A5BD-1F1D7864BCFE}"/>
    <hyperlink ref="D13:H13" location="'صافي الدخل - تاسي'!A1" display="Table (11): Net Income By Sector (Main Market)" xr:uid="{92E29351-BC03-40F6-BDDC-7BE6236D87F3}"/>
    <hyperlink ref="D14:H14" location="'حقوق المساهمين - تاسي'!A1" display="Table (12): Shareholders Equity By Sector (Main Market)" xr:uid="{C5C20939-4D11-458D-A14A-BB7E4445CEBB}"/>
    <hyperlink ref="D15:H15" location="'إجمالي الأصول - تاسي'!A1" display="Table (13): Total Assets By Sector (Main Market)" xr:uid="{E1035E70-A747-4820-8839-F542D27B5D8C}"/>
    <hyperlink ref="D16:H16" location="'اجمالي الدين - تاسي'!A1" display="Table (14): Total Debt By Sector (Main Market)" xr:uid="{0D8BD997-1550-45A8-A911-8B294D7E323F}"/>
    <hyperlink ref="D17:H17" location="' إجمالي الإيرادات - نمو'!A1" display="Table (15): Total Revenue By Sector (Nomu Market)" xr:uid="{FC217FB6-294E-4BB0-AC90-36EB03430EA2}"/>
    <hyperlink ref="D18:H18" location="'صافي الدخل - نمو'!A1" display="Table (16): Net Income By Sector (Nomu Market)" xr:uid="{C24568E5-C1EA-4A05-8FD2-186C0E7DB770}"/>
    <hyperlink ref="D19:H19" location="'إجمالي حقوق المساهمين - نمو'!A1" display="Table (17): Shareholders Equity By Sector (Nomu Market)" xr:uid="{C8D01BD8-7EFA-4CE0-862B-EDE2C58DD707}"/>
    <hyperlink ref="D20:H20" location="'إجمالي الأصول - نمو'!A1" display="Table (18): Total Assets By Sector (Nomu Market)" xr:uid="{D785D542-6860-4102-A5B5-299A320C8A18}"/>
    <hyperlink ref="D21:H21" location="'إجمالي الدين - نمو'!A1" display="Table (19): Total Debt By Sector (Nomu Market)" xr:uid="{8432C023-4CFB-4AFE-9E35-8E52EFC39157}"/>
    <hyperlink ref="D22:H22" location="' عدد محافظ الأفراد - تاسي'!A1" display="Table (20): Number of Individual Portfolios in Local Stock Market Classified by Gender (Main Market)" xr:uid="{72EFD31E-75E8-4985-BF58-D9E6151D1EB4}"/>
    <hyperlink ref="D23:H23" location="' قيم ونسب الملكية - تاسي'!A1" display="Table (21): Values and Percentages of Ownership in the Stock Market Classified by Investor Type (Main Market)" xr:uid="{DC732A16-6C73-4067-862C-49D51C432A29}"/>
    <hyperlink ref="D24:H24" location="'قيم ونسب الملكية حسب السلوك'!A1" display="Table (22): Values and Percentages of Ownership Classified by Investors According to Their Behavior (Main Market)" xr:uid="{D1817EE2-D8F6-42BC-9358-6F70577F88A1}"/>
    <hyperlink ref="D25:H25" location="'قيم ونسب التداولات - تاسي'!A1" display="Table (23): Values and Percentages of Trades in the Stock Market Classified by Investor Type (Main Market)" xr:uid="{18F79438-D2AF-45D6-8817-F8001FF80AFD}"/>
    <hyperlink ref="D26:H26" location="'قيم ونسب التداولات حسب السلوك'!A1" display="Table (24): Values and Percentages of Trades in the Stock Market Classified by Investors According to Their Behavior (Main Market)" xr:uid="{D37B395A-DF76-4FA3-B09F-655D4D0A7334}"/>
    <hyperlink ref="H27" location="'التداولات خارج المنصة'!A1" display="Table (25): OTC TRADING" xr:uid="{B95D4133-9FC8-4B27-BA91-AE55E1F06991}"/>
  </hyperlinks>
  <pageMargins left="0.7" right="0.7" top="0.75" bottom="0.75" header="0.3" footer="0.3"/>
  <pageSetup paperSize="9" orientation="portrait" r:id="rId1"/>
  <headerFooter>
    <oddFooter>&amp;C&amp;"Calibri"&amp;11&amp;K000000&amp;"Calibri"&amp;11&amp;K000000&amp;"Calibri"&amp;11&amp;K000000&amp;10&amp;K663300Classification: &amp;K000000 Internal  داخلي_x000D_&amp;1#&amp;"Calibri"&amp;10&amp;K000000Internal - داخلي</oddFooter>
    <evenFooter>&amp;C&amp;10&amp;K663300Classification: &amp;K000000 Internal  داخلي</evenFooter>
    <firstFooter>&amp;C&amp;10&amp;K663300Classification: &amp;K000000 Internal  داخلي</first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0">
    <pageSetUpPr autoPageBreaks="0"/>
  </sheetPr>
  <dimension ref="A1:P51"/>
  <sheetViews>
    <sheetView showGridLines="0" showRowColHeaders="0" rightToLeft="1" zoomScale="90" zoomScaleNormal="90" workbookViewId="0">
      <selection activeCell="C7" sqref="C7"/>
    </sheetView>
  </sheetViews>
  <sheetFormatPr defaultColWidth="8.42578125" defaultRowHeight="15"/>
  <cols>
    <col min="1" max="1" width="63.42578125" style="26" bestFit="1" customWidth="1"/>
    <col min="2" max="2" width="23.42578125" style="26" customWidth="1"/>
    <col min="3" max="3" width="20.42578125" style="26" customWidth="1"/>
    <col min="4" max="6" width="22.42578125" style="26" customWidth="1"/>
    <col min="7" max="7" width="14.42578125" style="26" customWidth="1"/>
    <col min="8" max="8" width="22.85546875" style="26" bestFit="1" customWidth="1"/>
    <col min="9" max="35" width="14.42578125" style="26" customWidth="1"/>
    <col min="36" max="16384" width="8.42578125" style="26"/>
  </cols>
  <sheetData>
    <row r="1" spans="1:16" ht="15" customHeight="1">
      <c r="B1" s="28"/>
      <c r="C1" s="28"/>
    </row>
    <row r="2" spans="1:16" ht="15" customHeight="1">
      <c r="A2" s="29"/>
      <c r="B2" s="29"/>
      <c r="C2" s="29"/>
    </row>
    <row r="3" spans="1:16" ht="15" customHeight="1">
      <c r="A3" s="29"/>
      <c r="B3" s="29"/>
    </row>
    <row r="4" spans="1:16" ht="15" customHeight="1">
      <c r="A4" s="29"/>
      <c r="B4" s="29"/>
      <c r="C4" s="29"/>
    </row>
    <row r="5" spans="1:16" ht="15.75">
      <c r="A5" s="5"/>
      <c r="B5" s="5"/>
      <c r="C5" s="5"/>
    </row>
    <row r="6" spans="1:16" ht="55.5" customHeight="1">
      <c r="C6" s="191" t="s">
        <v>677</v>
      </c>
      <c r="D6" s="191"/>
      <c r="E6" s="191"/>
      <c r="F6" s="191"/>
    </row>
    <row r="7" spans="1:16" ht="30.75" customHeight="1" thickBot="1">
      <c r="H7" s="49"/>
      <c r="I7" s="49"/>
      <c r="J7" s="49"/>
    </row>
    <row r="8" spans="1:16" ht="25.5">
      <c r="G8" s="72" t="s">
        <v>46</v>
      </c>
    </row>
    <row r="9" spans="1:16" ht="45.75" customHeight="1" thickBot="1">
      <c r="A9" s="107" t="s">
        <v>123</v>
      </c>
      <c r="B9" s="104" t="s">
        <v>95</v>
      </c>
      <c r="C9" s="104" t="s">
        <v>438</v>
      </c>
      <c r="D9" s="104" t="s">
        <v>101</v>
      </c>
      <c r="E9" s="104" t="s">
        <v>439</v>
      </c>
      <c r="F9" s="104" t="s">
        <v>464</v>
      </c>
      <c r="G9" s="104" t="s">
        <v>594</v>
      </c>
      <c r="H9" s="104" t="s">
        <v>617</v>
      </c>
    </row>
    <row r="10" spans="1:16" ht="32.450000000000003" customHeight="1" thickTop="1" thickBot="1">
      <c r="A10" s="106" t="s">
        <v>383</v>
      </c>
      <c r="B10" s="78">
        <v>58.454000000000001</v>
      </c>
      <c r="C10" s="78">
        <v>206.743122</v>
      </c>
      <c r="D10" s="78">
        <v>831.41533000000004</v>
      </c>
      <c r="E10" s="145">
        <v>1323.34033</v>
      </c>
      <c r="F10" s="145">
        <v>720.28593599999999</v>
      </c>
      <c r="G10" s="145">
        <v>1654.773312</v>
      </c>
      <c r="H10" s="145">
        <v>847.7</v>
      </c>
      <c r="O10" s="19"/>
      <c r="P10" s="19"/>
    </row>
    <row r="11" spans="1:16" ht="32.450000000000003" customHeight="1" thickTop="1" thickBot="1">
      <c r="A11" s="106" t="s">
        <v>466</v>
      </c>
      <c r="B11" s="78">
        <v>46.534866999999998</v>
      </c>
      <c r="C11" s="78">
        <v>235.15799999999999</v>
      </c>
      <c r="D11" s="78">
        <v>121.105</v>
      </c>
      <c r="E11" s="78">
        <v>315.59899999999999</v>
      </c>
      <c r="F11" s="145">
        <v>1146.5063929999999</v>
      </c>
      <c r="G11" s="145">
        <v>2467.4841839999999</v>
      </c>
      <c r="H11" s="78">
        <v>1983.22</v>
      </c>
      <c r="O11" s="19"/>
      <c r="P11" s="19"/>
    </row>
    <row r="12" spans="1:16" ht="32.450000000000003" customHeight="1" thickTop="1" thickBot="1">
      <c r="A12" s="106" t="s">
        <v>384</v>
      </c>
      <c r="B12" s="78" t="s">
        <v>6</v>
      </c>
      <c r="C12" s="78">
        <v>71.025970999999998</v>
      </c>
      <c r="D12" s="78">
        <v>370.84274599999998</v>
      </c>
      <c r="E12" s="78">
        <v>1105.40266</v>
      </c>
      <c r="F12" s="145">
        <v>635.25300000000004</v>
      </c>
      <c r="G12" s="145">
        <v>816.48993800000005</v>
      </c>
      <c r="H12" s="78">
        <v>912.56</v>
      </c>
      <c r="O12" s="19"/>
      <c r="P12" s="19"/>
    </row>
    <row r="13" spans="1:16" ht="32.450000000000003" customHeight="1" thickTop="1" thickBot="1">
      <c r="A13" s="106" t="s">
        <v>467</v>
      </c>
      <c r="B13" s="78">
        <v>299.214</v>
      </c>
      <c r="C13" s="78">
        <v>662.45799999999997</v>
      </c>
      <c r="D13" s="78">
        <v>1084.8313149999999</v>
      </c>
      <c r="E13" s="78">
        <v>2621.8780980000001</v>
      </c>
      <c r="F13" s="145">
        <v>1797.3613359999999</v>
      </c>
      <c r="G13" s="145">
        <v>3709.4060989999998</v>
      </c>
      <c r="H13" s="78">
        <v>1936.72</v>
      </c>
      <c r="O13" s="19"/>
      <c r="P13" s="19"/>
    </row>
    <row r="14" spans="1:16" ht="32.450000000000003" customHeight="1" thickTop="1" thickBot="1">
      <c r="A14" s="106" t="s">
        <v>385</v>
      </c>
      <c r="B14" s="78" t="s">
        <v>6</v>
      </c>
      <c r="C14" s="78">
        <v>89.685000000000002</v>
      </c>
      <c r="D14" s="78">
        <v>43.360999999999997</v>
      </c>
      <c r="E14" s="78">
        <v>91.64</v>
      </c>
      <c r="F14" s="145">
        <v>48.164000000000001</v>
      </c>
      <c r="G14" s="145">
        <v>92.484999999999999</v>
      </c>
      <c r="H14" s="78">
        <v>54.32</v>
      </c>
      <c r="O14" s="19"/>
      <c r="P14" s="19"/>
    </row>
    <row r="15" spans="1:16" ht="32.450000000000003" customHeight="1" thickTop="1" thickBot="1">
      <c r="A15" s="106" t="s">
        <v>386</v>
      </c>
      <c r="B15" s="78">
        <v>747.31399999999996</v>
      </c>
      <c r="C15" s="78">
        <v>2214.7555109999998</v>
      </c>
      <c r="D15" s="78">
        <v>821.59053300000005</v>
      </c>
      <c r="E15" s="78">
        <v>2265.2552890000002</v>
      </c>
      <c r="F15" s="145">
        <v>1415.9934249999999</v>
      </c>
      <c r="G15" s="145">
        <v>2659.6976810000001</v>
      </c>
      <c r="H15" s="78">
        <v>1957.03</v>
      </c>
      <c r="O15" s="19"/>
      <c r="P15" s="19"/>
    </row>
    <row r="16" spans="1:16" ht="32.450000000000003" customHeight="1" thickTop="1" thickBot="1">
      <c r="A16" s="106" t="s">
        <v>468</v>
      </c>
      <c r="B16" s="78">
        <v>14.171749999999999</v>
      </c>
      <c r="C16" s="78">
        <v>29.905449999999998</v>
      </c>
      <c r="D16" s="78">
        <v>79.313176999999996</v>
      </c>
      <c r="E16" s="78">
        <v>296.94865399999998</v>
      </c>
      <c r="F16" s="145">
        <v>734.97202500000003</v>
      </c>
      <c r="G16" s="145">
        <v>1546.6638</v>
      </c>
      <c r="H16" s="78">
        <v>864.28</v>
      </c>
      <c r="O16" s="19"/>
      <c r="P16" s="19"/>
    </row>
    <row r="17" spans="1:16" ht="32.450000000000003" customHeight="1" thickTop="1" thickBot="1">
      <c r="A17" s="106" t="s">
        <v>463</v>
      </c>
      <c r="B17" s="78" t="s">
        <v>6</v>
      </c>
      <c r="C17" s="78">
        <v>256.50400000000002</v>
      </c>
      <c r="D17" s="78">
        <v>1048.6199999999999</v>
      </c>
      <c r="E17" s="78">
        <v>2177.1158999999998</v>
      </c>
      <c r="F17" s="145">
        <v>282.53409599999998</v>
      </c>
      <c r="G17" s="145">
        <v>727.128424</v>
      </c>
      <c r="H17" s="78">
        <v>407.67</v>
      </c>
      <c r="O17" s="19"/>
      <c r="P17" s="19"/>
    </row>
    <row r="18" spans="1:16" ht="16.5" thickTop="1" thickBot="1">
      <c r="A18" s="106" t="s">
        <v>387</v>
      </c>
      <c r="B18" s="78" t="s">
        <v>6</v>
      </c>
      <c r="C18" s="78" t="s">
        <v>6</v>
      </c>
      <c r="D18" s="78">
        <v>22.006</v>
      </c>
      <c r="E18" s="78">
        <v>43.005000000000003</v>
      </c>
      <c r="F18" s="145" t="s">
        <v>6</v>
      </c>
      <c r="G18" s="145" t="s">
        <v>6</v>
      </c>
      <c r="H18" s="78" t="s">
        <v>6</v>
      </c>
    </row>
    <row r="19" spans="1:16" ht="29.25" customHeight="1" thickTop="1" thickBot="1">
      <c r="A19" s="106" t="s">
        <v>388</v>
      </c>
      <c r="B19" s="78" t="s">
        <v>6</v>
      </c>
      <c r="C19" s="78" t="s">
        <v>6</v>
      </c>
      <c r="D19" s="78">
        <v>192.37700000000001</v>
      </c>
      <c r="E19" s="78">
        <v>481.85132199999998</v>
      </c>
      <c r="F19" s="145">
        <v>368.99799999999999</v>
      </c>
      <c r="G19" s="145">
        <v>982.30865200000005</v>
      </c>
      <c r="H19" s="78">
        <v>876.21</v>
      </c>
    </row>
    <row r="20" spans="1:16" ht="29.25" customHeight="1" thickTop="1" thickBot="1">
      <c r="A20" s="106" t="s">
        <v>389</v>
      </c>
      <c r="B20" s="78" t="s">
        <v>6</v>
      </c>
      <c r="C20" s="78" t="s">
        <v>6</v>
      </c>
      <c r="D20" s="78">
        <v>254.68899999999999</v>
      </c>
      <c r="E20" s="92">
        <v>1098.001745</v>
      </c>
      <c r="F20" s="145">
        <v>646.24721599999998</v>
      </c>
      <c r="G20" s="145">
        <v>1334.166485</v>
      </c>
      <c r="H20" s="78">
        <v>744.4</v>
      </c>
    </row>
    <row r="21" spans="1:16" ht="16.5" thickTop="1" thickBot="1">
      <c r="A21" s="106" t="s">
        <v>465</v>
      </c>
      <c r="B21" s="78" t="s">
        <v>6</v>
      </c>
      <c r="C21" s="78" t="s">
        <v>6</v>
      </c>
      <c r="D21" s="78" t="s">
        <v>6</v>
      </c>
      <c r="E21" s="78" t="s">
        <v>6</v>
      </c>
      <c r="F21" s="145">
        <v>101.986</v>
      </c>
      <c r="G21" s="145">
        <v>224.128274</v>
      </c>
      <c r="H21" s="78">
        <v>127.93</v>
      </c>
      <c r="I21" s="51"/>
      <c r="J21" s="51"/>
      <c r="K21" s="51"/>
      <c r="P21" s="47"/>
    </row>
    <row r="22" spans="1:16" ht="31.5" thickTop="1" thickBot="1">
      <c r="A22" s="106" t="s">
        <v>461</v>
      </c>
      <c r="B22" s="78" t="s">
        <v>6</v>
      </c>
      <c r="C22" s="78" t="s">
        <v>6</v>
      </c>
      <c r="D22" s="78" t="s">
        <v>6</v>
      </c>
      <c r="E22" s="78" t="s">
        <v>6</v>
      </c>
      <c r="F22" s="145">
        <v>65.882000000000005</v>
      </c>
      <c r="G22" s="145">
        <v>552.06799999999998</v>
      </c>
      <c r="H22" s="78">
        <v>300.26</v>
      </c>
    </row>
    <row r="23" spans="1:16" ht="31.5" thickTop="1" thickBot="1">
      <c r="A23" s="106" t="s">
        <v>460</v>
      </c>
      <c r="B23" s="78" t="s">
        <v>6</v>
      </c>
      <c r="C23" s="78" t="s">
        <v>6</v>
      </c>
      <c r="D23" s="78" t="s">
        <v>6</v>
      </c>
      <c r="E23" s="78" t="s">
        <v>6</v>
      </c>
      <c r="F23" s="78" t="s">
        <v>6</v>
      </c>
      <c r="G23" s="92">
        <v>104.205</v>
      </c>
      <c r="H23" s="78">
        <v>182.2</v>
      </c>
    </row>
    <row r="24" spans="1:16" ht="31.5" thickTop="1" thickBot="1">
      <c r="A24" s="106" t="s">
        <v>375</v>
      </c>
      <c r="B24" s="78" t="s">
        <v>6</v>
      </c>
      <c r="C24" s="78" t="s">
        <v>6</v>
      </c>
      <c r="D24" s="78" t="s">
        <v>6</v>
      </c>
      <c r="E24" s="78" t="s">
        <v>6</v>
      </c>
      <c r="F24" s="78" t="s">
        <v>6</v>
      </c>
      <c r="G24" s="92">
        <v>310.06700000000001</v>
      </c>
      <c r="H24" s="92">
        <v>170.3</v>
      </c>
    </row>
    <row r="25" spans="1:16" ht="15.75" thickTop="1">
      <c r="A25" s="23" t="s">
        <v>92</v>
      </c>
      <c r="B25" s="56"/>
      <c r="C25" s="56"/>
      <c r="D25" s="56"/>
      <c r="E25" s="56"/>
      <c r="F25" s="56"/>
      <c r="G25" s="47" t="s">
        <v>103</v>
      </c>
    </row>
    <row r="26" spans="1:16">
      <c r="A26" s="56"/>
      <c r="B26" s="56"/>
      <c r="C26" s="56"/>
      <c r="D26" s="56"/>
      <c r="E26" s="56"/>
      <c r="F26" s="56"/>
    </row>
    <row r="27" spans="1:16">
      <c r="A27" s="56"/>
      <c r="B27" s="56"/>
      <c r="C27" s="56"/>
      <c r="D27" s="56"/>
      <c r="E27" s="56"/>
      <c r="F27" s="56"/>
    </row>
    <row r="28" spans="1:16">
      <c r="A28" s="56"/>
      <c r="B28" s="56"/>
      <c r="C28" s="56"/>
      <c r="D28" s="56"/>
      <c r="E28" s="56"/>
      <c r="F28" s="56"/>
    </row>
    <row r="29" spans="1:16">
      <c r="A29" s="56"/>
      <c r="B29" s="56"/>
      <c r="C29" s="56"/>
      <c r="D29" s="56"/>
      <c r="E29" s="56"/>
      <c r="F29" s="56"/>
    </row>
    <row r="30" spans="1:16">
      <c r="A30" s="56"/>
      <c r="B30" s="56"/>
      <c r="C30" s="56"/>
      <c r="D30" s="56"/>
      <c r="E30" s="56"/>
      <c r="F30" s="56"/>
    </row>
    <row r="31" spans="1:16">
      <c r="A31" s="56"/>
      <c r="B31" s="56"/>
      <c r="C31" s="56"/>
      <c r="D31" s="56"/>
      <c r="E31" s="56"/>
      <c r="F31" s="56"/>
    </row>
    <row r="32" spans="1:16">
      <c r="A32" s="56"/>
      <c r="B32" s="56"/>
      <c r="C32" s="56"/>
      <c r="D32" s="56"/>
      <c r="E32" s="56"/>
      <c r="F32" s="56"/>
    </row>
    <row r="33" spans="1:6">
      <c r="A33" s="56"/>
      <c r="B33" s="56"/>
      <c r="C33" s="56"/>
      <c r="D33" s="56"/>
      <c r="E33" s="56"/>
      <c r="F33" s="56"/>
    </row>
    <row r="34" spans="1:6">
      <c r="A34" s="56"/>
      <c r="B34" s="56"/>
      <c r="C34" s="56"/>
      <c r="D34" s="56"/>
      <c r="E34" s="56"/>
      <c r="F34" s="56"/>
    </row>
    <row r="35" spans="1:6">
      <c r="A35" s="56"/>
      <c r="B35" s="56"/>
      <c r="C35" s="56"/>
      <c r="D35" s="56"/>
      <c r="E35" s="56"/>
      <c r="F35" s="56"/>
    </row>
    <row r="36" spans="1:6">
      <c r="A36" s="56"/>
      <c r="B36" s="56"/>
      <c r="C36" s="56"/>
      <c r="D36" s="56"/>
      <c r="E36" s="56"/>
      <c r="F36" s="56"/>
    </row>
    <row r="37" spans="1:6">
      <c r="E37" s="56"/>
      <c r="F37" s="56"/>
    </row>
    <row r="38" spans="1:6">
      <c r="E38" s="56"/>
      <c r="F38" s="56"/>
    </row>
    <row r="39" spans="1:6">
      <c r="E39" s="56"/>
      <c r="F39" s="56"/>
    </row>
    <row r="40" spans="1:6">
      <c r="E40" s="56"/>
      <c r="F40" s="56"/>
    </row>
    <row r="41" spans="1:6">
      <c r="E41" s="56"/>
      <c r="F41" s="56"/>
    </row>
    <row r="42" spans="1:6">
      <c r="E42" s="56"/>
      <c r="F42" s="56"/>
    </row>
    <row r="43" spans="1:6">
      <c r="E43" s="56"/>
      <c r="F43" s="56"/>
    </row>
    <row r="44" spans="1:6">
      <c r="E44" s="56"/>
      <c r="F44" s="56"/>
    </row>
    <row r="45" spans="1:6">
      <c r="E45" s="56"/>
      <c r="F45" s="56"/>
    </row>
    <row r="46" spans="1:6">
      <c r="E46" s="56"/>
      <c r="F46" s="56"/>
    </row>
    <row r="47" spans="1:6">
      <c r="E47" s="56"/>
      <c r="F47" s="56"/>
    </row>
    <row r="48" spans="1:6">
      <c r="E48" s="56"/>
      <c r="F48" s="56"/>
    </row>
    <row r="49" spans="6:6">
      <c r="F49" s="56"/>
    </row>
    <row r="50" spans="6:6">
      <c r="F50" s="56"/>
    </row>
    <row r="51" spans="6:6">
      <c r="F51" s="56" t="str">
        <f t="shared" ref="F51" si="0">A35&amp;" "&amp;B35&amp;" "&amp;C35</f>
        <v xml:space="preserve">  </v>
      </c>
    </row>
  </sheetData>
  <mergeCells count="1">
    <mergeCell ref="C6:F6"/>
  </mergeCells>
  <hyperlinks>
    <hyperlink ref="A5:C5" location="Main!G8" display="العودة للصفحة الرئيسية" xr:uid="{00000000-0004-0000-1600-000000000000}"/>
  </hyperlinks>
  <pageMargins left="0.7" right="0.7" top="0.75" bottom="0.75" header="0.3" footer="0.3"/>
  <pageSetup paperSize="9" orientation="portrait" r:id="rId1"/>
  <headerFooter>
    <oddFooter>&amp;C&amp;"Calibri"&amp;11&amp;K000000&amp;"Calibri"&amp;11&amp;K000000&amp;"Calibri"&amp;11&amp;K000000&amp;10&amp;K663300Classification: &amp;K000000 Internal  داخلي_x000D_&amp;1#&amp;"Calibri"&amp;10&amp;K000000Internal - داخلي</oddFooter>
    <evenFooter>&amp;C&amp;10&amp;K663300Classification: &amp;K000000 Internal  داخلي</evenFooter>
    <firstFooter>&amp;C&amp;10&amp;K663300Classification: &amp;K000000 Internal  داخلي</firstFooter>
  </headerFooter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1">
    <pageSetUpPr autoPageBreaks="0"/>
  </sheetPr>
  <dimension ref="A1:R43"/>
  <sheetViews>
    <sheetView showGridLines="0" showRowColHeaders="0" rightToLeft="1" topLeftCell="A16" zoomScale="90" zoomScaleNormal="90" workbookViewId="0">
      <selection activeCell="C7" sqref="C7"/>
    </sheetView>
  </sheetViews>
  <sheetFormatPr defaultColWidth="8.42578125" defaultRowHeight="15"/>
  <cols>
    <col min="1" max="1" width="33" style="26" bestFit="1" customWidth="1"/>
    <col min="2" max="2" width="23.42578125" style="26" customWidth="1"/>
    <col min="3" max="3" width="20.42578125" style="26" customWidth="1"/>
    <col min="4" max="6" width="18.85546875" style="26" customWidth="1"/>
    <col min="7" max="7" width="16.140625" style="26" customWidth="1"/>
    <col min="8" max="8" width="13.42578125" style="26" customWidth="1"/>
    <col min="9" max="9" width="13" style="26" customWidth="1"/>
    <col min="10" max="10" width="14.42578125" style="26" customWidth="1"/>
    <col min="11" max="26" width="13.42578125" style="26" customWidth="1"/>
    <col min="27" max="16384" width="8.42578125" style="26"/>
  </cols>
  <sheetData>
    <row r="1" spans="1:16" ht="15" customHeight="1">
      <c r="B1" s="28"/>
      <c r="C1" s="28"/>
    </row>
    <row r="2" spans="1:16" ht="15" customHeight="1">
      <c r="A2" s="29"/>
      <c r="B2" s="29"/>
      <c r="C2" s="29"/>
    </row>
    <row r="3" spans="1:16" ht="15" customHeight="1">
      <c r="A3" s="29"/>
      <c r="B3" s="29"/>
      <c r="C3" s="29"/>
    </row>
    <row r="4" spans="1:16" ht="15" customHeight="1">
      <c r="A4" s="29"/>
      <c r="B4" s="29"/>
      <c r="C4" s="29"/>
    </row>
    <row r="5" spans="1:16" ht="15.75">
      <c r="A5" s="5"/>
      <c r="B5" s="5"/>
      <c r="C5" s="5"/>
    </row>
    <row r="6" spans="1:16" ht="55.5" customHeight="1">
      <c r="C6" s="191" t="s">
        <v>678</v>
      </c>
      <c r="D6" s="191"/>
      <c r="E6" s="191"/>
      <c r="F6" s="191"/>
    </row>
    <row r="7" spans="1:16" ht="48" customHeight="1" thickBot="1">
      <c r="H7" s="49"/>
      <c r="I7" s="49"/>
      <c r="J7" s="49"/>
    </row>
    <row r="8" spans="1:16" ht="36" customHeight="1" thickBot="1">
      <c r="E8" s="71" t="s">
        <v>46</v>
      </c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</row>
    <row r="9" spans="1:16" ht="51" customHeight="1" thickBot="1">
      <c r="A9" s="107" t="s">
        <v>123</v>
      </c>
      <c r="B9" s="104" t="s">
        <v>95</v>
      </c>
      <c r="C9" s="104" t="s">
        <v>476</v>
      </c>
      <c r="D9" s="104" t="s">
        <v>101</v>
      </c>
      <c r="E9" s="104" t="s">
        <v>477</v>
      </c>
      <c r="F9" s="104" t="s">
        <v>464</v>
      </c>
      <c r="G9" s="104" t="s">
        <v>594</v>
      </c>
      <c r="H9" s="104" t="s">
        <v>617</v>
      </c>
      <c r="I9" s="52"/>
      <c r="J9" s="52"/>
      <c r="K9" s="52"/>
      <c r="L9" s="52"/>
      <c r="M9" s="52"/>
      <c r="N9" s="52"/>
    </row>
    <row r="10" spans="1:16" ht="46.5" customHeight="1" thickTop="1" thickBot="1">
      <c r="A10" s="106" t="s">
        <v>383</v>
      </c>
      <c r="B10" s="78">
        <v>47.496000000000002</v>
      </c>
      <c r="C10" s="78">
        <v>126.708208</v>
      </c>
      <c r="D10" s="78">
        <v>109.41934000000001</v>
      </c>
      <c r="E10" s="145">
        <v>216.738439</v>
      </c>
      <c r="F10" s="145">
        <v>99.159571999999997</v>
      </c>
      <c r="G10" s="145">
        <v>213.35416599999999</v>
      </c>
      <c r="H10" s="145">
        <v>98.93</v>
      </c>
      <c r="I10" s="52"/>
      <c r="J10" s="52"/>
      <c r="K10" s="52"/>
      <c r="L10" s="52"/>
      <c r="M10" s="52"/>
      <c r="N10" s="52"/>
      <c r="O10" s="20"/>
      <c r="P10" s="20"/>
    </row>
    <row r="11" spans="1:16" ht="46.5" customHeight="1" thickTop="1" thickBot="1">
      <c r="A11" s="106" t="s">
        <v>466</v>
      </c>
      <c r="B11" s="78">
        <v>-2.091396</v>
      </c>
      <c r="C11" s="78">
        <v>15.368</v>
      </c>
      <c r="D11" s="78">
        <v>2.9780000000000002</v>
      </c>
      <c r="E11" s="78">
        <v>24.106000000000002</v>
      </c>
      <c r="F11" s="145">
        <v>91.776469000000006</v>
      </c>
      <c r="G11" s="145">
        <v>203.41972100000001</v>
      </c>
      <c r="H11" s="78">
        <v>86.92</v>
      </c>
      <c r="I11" s="52"/>
      <c r="J11" s="52"/>
      <c r="K11" s="52"/>
      <c r="L11" s="52"/>
      <c r="M11" s="52"/>
      <c r="N11" s="52"/>
      <c r="O11" s="20"/>
      <c r="P11" s="20"/>
    </row>
    <row r="12" spans="1:16" ht="46.5" customHeight="1" thickTop="1" thickBot="1">
      <c r="A12" s="106" t="s">
        <v>384</v>
      </c>
      <c r="B12" s="78" t="s">
        <v>6</v>
      </c>
      <c r="C12" s="78">
        <v>13.782442</v>
      </c>
      <c r="D12" s="78">
        <v>2.6366909999999999</v>
      </c>
      <c r="E12" s="78">
        <v>99.648292999999995</v>
      </c>
      <c r="F12" s="145">
        <v>41.661417999999998</v>
      </c>
      <c r="G12" s="145">
        <v>157.67098899999999</v>
      </c>
      <c r="H12" s="78">
        <v>52.39</v>
      </c>
      <c r="I12" s="52"/>
      <c r="J12" s="52"/>
      <c r="K12" s="52"/>
      <c r="L12" s="52"/>
      <c r="M12" s="52"/>
      <c r="N12" s="52"/>
      <c r="O12" s="20"/>
      <c r="P12" s="20"/>
    </row>
    <row r="13" spans="1:16" ht="46.5" customHeight="1" thickTop="1" thickBot="1">
      <c r="A13" s="106" t="s">
        <v>467</v>
      </c>
      <c r="B13" s="78">
        <v>25.091999999999999</v>
      </c>
      <c r="C13" s="78">
        <v>80.679000000000002</v>
      </c>
      <c r="D13" s="78">
        <v>295.27315499999997</v>
      </c>
      <c r="E13" s="78">
        <v>403.47893900000003</v>
      </c>
      <c r="F13" s="145">
        <v>182.67006499999999</v>
      </c>
      <c r="G13" s="145">
        <v>302.83239200000003</v>
      </c>
      <c r="H13" s="78">
        <v>163.28</v>
      </c>
      <c r="I13" s="52"/>
      <c r="J13" s="52"/>
      <c r="K13" s="52"/>
      <c r="L13" s="52"/>
      <c r="M13" s="52"/>
      <c r="N13" s="52"/>
      <c r="O13" s="20"/>
      <c r="P13" s="20"/>
    </row>
    <row r="14" spans="1:16" ht="46.5" customHeight="1" thickTop="1" thickBot="1">
      <c r="A14" s="106" t="s">
        <v>385</v>
      </c>
      <c r="B14" s="78" t="s">
        <v>6</v>
      </c>
      <c r="C14" s="78">
        <v>2.4820000000000002</v>
      </c>
      <c r="D14" s="78">
        <v>0.93</v>
      </c>
      <c r="E14" s="78">
        <v>3.2909999999999999</v>
      </c>
      <c r="F14" s="145">
        <v>1.7809999999999999</v>
      </c>
      <c r="G14" s="145">
        <v>3.766</v>
      </c>
      <c r="H14" s="78">
        <v>1.49</v>
      </c>
      <c r="I14" s="52"/>
      <c r="J14" s="52"/>
      <c r="K14" s="52"/>
      <c r="L14" s="52"/>
      <c r="M14" s="52"/>
      <c r="N14" s="52"/>
      <c r="O14" s="20"/>
      <c r="P14" s="20"/>
    </row>
    <row r="15" spans="1:16" ht="46.5" customHeight="1" thickTop="1" thickBot="1">
      <c r="A15" s="106" t="s">
        <v>386</v>
      </c>
      <c r="B15" s="78">
        <v>194.43100000000001</v>
      </c>
      <c r="C15" s="78">
        <v>319.15150399999999</v>
      </c>
      <c r="D15" s="78">
        <v>128.6249</v>
      </c>
      <c r="E15" s="78">
        <v>326.14556599999997</v>
      </c>
      <c r="F15" s="145">
        <v>160.075401</v>
      </c>
      <c r="G15" s="145">
        <v>159.993483</v>
      </c>
      <c r="H15" s="78">
        <v>140.54</v>
      </c>
      <c r="I15" s="52"/>
      <c r="J15" s="52"/>
      <c r="K15" s="52"/>
      <c r="L15" s="52"/>
      <c r="M15" s="52"/>
      <c r="N15" s="52"/>
      <c r="O15" s="20"/>
      <c r="P15" s="20"/>
    </row>
    <row r="16" spans="1:16" ht="46.5" customHeight="1" thickTop="1" thickBot="1">
      <c r="A16" s="106" t="s">
        <v>468</v>
      </c>
      <c r="B16" s="78">
        <v>2.04969</v>
      </c>
      <c r="C16" s="78">
        <v>1.400936</v>
      </c>
      <c r="D16" s="78">
        <v>2052.3000000000002</v>
      </c>
      <c r="E16" s="78">
        <v>25.421610999999999</v>
      </c>
      <c r="F16" s="145">
        <v>78.680936000000003</v>
      </c>
      <c r="G16" s="145">
        <v>177.52218300000001</v>
      </c>
      <c r="H16" s="78">
        <v>114.17</v>
      </c>
      <c r="I16" s="52"/>
      <c r="J16" s="52"/>
      <c r="K16" s="52"/>
      <c r="L16" s="52"/>
      <c r="M16" s="52"/>
      <c r="N16" s="52"/>
      <c r="O16" s="20"/>
      <c r="P16" s="20"/>
    </row>
    <row r="17" spans="1:18" ht="46.5" customHeight="1" thickTop="1" thickBot="1">
      <c r="A17" s="106" t="s">
        <v>463</v>
      </c>
      <c r="B17" s="78" t="s">
        <v>6</v>
      </c>
      <c r="C17" s="78">
        <v>11.948</v>
      </c>
      <c r="D17" s="78">
        <v>71.664000000000001</v>
      </c>
      <c r="E17" s="78">
        <v>94.657579999999996</v>
      </c>
      <c r="F17" s="145">
        <v>16.710023</v>
      </c>
      <c r="G17" s="145">
        <v>21.352533999999999</v>
      </c>
      <c r="H17" s="78">
        <v>24.01</v>
      </c>
      <c r="I17" s="52"/>
      <c r="J17" s="52"/>
      <c r="K17" s="52"/>
      <c r="L17" s="52"/>
      <c r="M17" s="52"/>
      <c r="N17" s="52"/>
      <c r="O17" s="20"/>
      <c r="P17" s="20"/>
    </row>
    <row r="18" spans="1:18" ht="46.5" customHeight="1" thickTop="1" thickBot="1">
      <c r="A18" s="106" t="s">
        <v>387</v>
      </c>
      <c r="B18" s="78" t="s">
        <v>6</v>
      </c>
      <c r="C18" s="78" t="s">
        <v>6</v>
      </c>
      <c r="D18" s="78">
        <v>5.4459999999999997</v>
      </c>
      <c r="E18" s="78">
        <v>7.66</v>
      </c>
      <c r="F18" s="78" t="s">
        <v>6</v>
      </c>
      <c r="G18" s="145" t="s">
        <v>6</v>
      </c>
      <c r="H18" s="78" t="s">
        <v>6</v>
      </c>
      <c r="I18" s="52"/>
      <c r="J18" s="52"/>
      <c r="K18" s="52"/>
      <c r="L18" s="52"/>
      <c r="M18" s="52"/>
      <c r="N18" s="52"/>
      <c r="O18" s="20"/>
      <c r="P18" s="20"/>
    </row>
    <row r="19" spans="1:18" ht="46.5" customHeight="1" thickTop="1" thickBot="1">
      <c r="A19" s="106" t="s">
        <v>388</v>
      </c>
      <c r="B19" s="78" t="s">
        <v>6</v>
      </c>
      <c r="C19" s="78" t="s">
        <v>6</v>
      </c>
      <c r="D19" s="78">
        <v>8.4740000000000002</v>
      </c>
      <c r="E19" s="78">
        <v>23.818052999999999</v>
      </c>
      <c r="F19" s="145">
        <v>16.567298999999998</v>
      </c>
      <c r="G19" s="145">
        <v>77.202155000000005</v>
      </c>
      <c r="H19" s="78">
        <v>83.13</v>
      </c>
      <c r="I19" s="52"/>
      <c r="J19" s="52"/>
      <c r="K19" s="52"/>
      <c r="L19" s="52"/>
      <c r="M19" s="52"/>
      <c r="N19" s="52"/>
      <c r="O19" s="20"/>
      <c r="P19" s="20"/>
    </row>
    <row r="20" spans="1:18" ht="46.5" customHeight="1" thickTop="1" thickBot="1">
      <c r="A20" s="106" t="s">
        <v>389</v>
      </c>
      <c r="B20" s="78" t="s">
        <v>6</v>
      </c>
      <c r="C20" s="78" t="s">
        <v>6</v>
      </c>
      <c r="D20" s="78">
        <v>26.838000000000001</v>
      </c>
      <c r="E20" s="92">
        <v>116.67393300000001</v>
      </c>
      <c r="F20" s="145">
        <v>57.376162000000001</v>
      </c>
      <c r="G20" s="145">
        <v>138.26304300000001</v>
      </c>
      <c r="H20" s="78">
        <v>72.08</v>
      </c>
      <c r="I20" s="52"/>
      <c r="J20" s="52"/>
      <c r="K20" s="52"/>
      <c r="L20" s="52"/>
      <c r="M20" s="52"/>
      <c r="N20" s="52"/>
      <c r="O20" s="20"/>
      <c r="P20" s="20"/>
    </row>
    <row r="21" spans="1:18" ht="24.75" customHeight="1" thickTop="1" thickBot="1">
      <c r="A21" s="106" t="s">
        <v>465</v>
      </c>
      <c r="B21" s="78" t="s">
        <v>6</v>
      </c>
      <c r="C21" s="78" t="s">
        <v>6</v>
      </c>
      <c r="D21" s="78" t="s">
        <v>6</v>
      </c>
      <c r="E21" s="78" t="s">
        <v>6</v>
      </c>
      <c r="F21" s="145">
        <v>17.619256</v>
      </c>
      <c r="G21" s="145">
        <v>35.178423000000002</v>
      </c>
      <c r="H21" s="78">
        <v>22.18</v>
      </c>
      <c r="I21" s="52"/>
      <c r="J21" s="52"/>
      <c r="K21" s="52"/>
      <c r="L21" s="52"/>
      <c r="M21" s="52"/>
      <c r="N21" s="52"/>
      <c r="O21" s="52"/>
      <c r="P21" s="52"/>
      <c r="Q21" s="20"/>
      <c r="R21" s="20"/>
    </row>
    <row r="22" spans="1:18" ht="26.25" customHeight="1" thickTop="1" thickBot="1">
      <c r="A22" s="106" t="s">
        <v>461</v>
      </c>
      <c r="B22" s="78" t="s">
        <v>6</v>
      </c>
      <c r="C22" s="78" t="s">
        <v>6</v>
      </c>
      <c r="D22" s="78" t="s">
        <v>6</v>
      </c>
      <c r="E22" s="78" t="s">
        <v>6</v>
      </c>
      <c r="F22" s="145">
        <v>3</v>
      </c>
      <c r="G22" s="145">
        <v>17.212</v>
      </c>
      <c r="H22" s="78">
        <v>5.98</v>
      </c>
      <c r="I22" s="52"/>
      <c r="J22" s="52"/>
      <c r="K22" s="52"/>
      <c r="L22" s="52"/>
      <c r="M22" s="52"/>
      <c r="N22" s="52"/>
      <c r="O22" s="52"/>
      <c r="P22" s="52"/>
      <c r="Q22" s="20"/>
      <c r="R22" s="20"/>
    </row>
    <row r="23" spans="1:18" ht="22.5" customHeight="1" thickTop="1" thickBot="1">
      <c r="A23" s="106" t="s">
        <v>460</v>
      </c>
      <c r="B23" s="78" t="s">
        <v>6</v>
      </c>
      <c r="C23" s="78" t="s">
        <v>6</v>
      </c>
      <c r="D23" s="78" t="s">
        <v>6</v>
      </c>
      <c r="E23" s="78" t="s">
        <v>6</v>
      </c>
      <c r="F23" s="78" t="s">
        <v>6</v>
      </c>
      <c r="G23" s="145">
        <v>46.313000000000002</v>
      </c>
      <c r="H23" s="78">
        <v>54.7</v>
      </c>
      <c r="I23" s="52"/>
      <c r="J23" s="52"/>
      <c r="K23" s="52"/>
      <c r="L23" s="52"/>
      <c r="M23" s="52"/>
      <c r="N23" s="52"/>
      <c r="O23" s="52"/>
      <c r="P23" s="52"/>
      <c r="Q23" s="20"/>
      <c r="R23" s="20"/>
    </row>
    <row r="24" spans="1:18" ht="25.5" customHeight="1" thickTop="1" thickBot="1">
      <c r="A24" s="106" t="s">
        <v>375</v>
      </c>
      <c r="B24" s="78" t="s">
        <v>6</v>
      </c>
      <c r="C24" s="78" t="s">
        <v>6</v>
      </c>
      <c r="D24" s="78" t="s">
        <v>6</v>
      </c>
      <c r="E24" s="78" t="s">
        <v>6</v>
      </c>
      <c r="F24" s="78" t="s">
        <v>6</v>
      </c>
      <c r="G24" s="145">
        <v>23.100999999999999</v>
      </c>
      <c r="H24" s="92">
        <v>13.73</v>
      </c>
      <c r="I24" s="52"/>
      <c r="J24" s="52"/>
      <c r="K24" s="52"/>
      <c r="L24" s="52"/>
      <c r="M24" s="52"/>
      <c r="N24" s="52"/>
      <c r="O24" s="52"/>
      <c r="P24" s="52"/>
      <c r="Q24" s="20"/>
      <c r="R24" s="20"/>
    </row>
    <row r="25" spans="1:18" ht="24" thickTop="1">
      <c r="A25" s="52"/>
      <c r="B25" s="52"/>
      <c r="C25" s="52"/>
      <c r="D25" s="126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20"/>
      <c r="R25" s="20"/>
    </row>
    <row r="26" spans="1:18" ht="25.5" customHeight="1">
      <c r="A26" s="23" t="s">
        <v>26</v>
      </c>
      <c r="B26" s="52"/>
      <c r="C26" s="52"/>
      <c r="D26" s="52"/>
      <c r="E26" s="52"/>
      <c r="F26" s="47" t="s">
        <v>25</v>
      </c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20"/>
      <c r="R26" s="20"/>
    </row>
    <row r="27" spans="1:18" ht="25.5" customHeight="1">
      <c r="A27" s="52"/>
      <c r="B27" s="52"/>
      <c r="C27" s="52"/>
      <c r="D27" s="126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20"/>
      <c r="R27" s="20"/>
    </row>
    <row r="28" spans="1:18" ht="25.5" customHeight="1">
      <c r="A28" s="52"/>
      <c r="B28" s="52"/>
      <c r="C28" s="52"/>
      <c r="D28" s="126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20"/>
      <c r="R28" s="20"/>
    </row>
    <row r="29" spans="1:18" ht="28.5" customHeight="1">
      <c r="A29" s="52"/>
      <c r="B29" s="52"/>
      <c r="C29" s="52"/>
      <c r="D29" s="126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</row>
    <row r="30" spans="1:18" ht="23.25">
      <c r="A30" s="52"/>
      <c r="B30" s="52"/>
      <c r="C30" s="52"/>
      <c r="D30" s="126"/>
      <c r="E30" s="52"/>
      <c r="F30" s="52"/>
    </row>
    <row r="31" spans="1:18" ht="23.25">
      <c r="A31" s="52"/>
      <c r="B31" s="52"/>
      <c r="C31" s="52"/>
      <c r="D31" s="126"/>
      <c r="E31" s="52"/>
      <c r="G31" s="47"/>
      <c r="H31" s="47"/>
      <c r="I31" s="47"/>
    </row>
    <row r="32" spans="1:18">
      <c r="B32" s="23"/>
      <c r="C32" s="47"/>
      <c r="D32" s="126"/>
      <c r="E32" s="47"/>
      <c r="F32" s="47"/>
      <c r="G32" s="47"/>
      <c r="H32" s="47"/>
      <c r="J32" s="47"/>
      <c r="K32" s="47"/>
    </row>
    <row r="33" spans="1:11">
      <c r="A33" s="23"/>
      <c r="B33" s="23"/>
      <c r="C33" s="47"/>
      <c r="D33" s="126"/>
      <c r="E33" s="47"/>
      <c r="F33" s="47"/>
      <c r="G33" s="47"/>
      <c r="H33" s="47"/>
      <c r="I33" s="51"/>
      <c r="J33" s="51"/>
      <c r="K33" s="51"/>
    </row>
    <row r="34" spans="1:11">
      <c r="A34" s="47"/>
      <c r="B34" s="47"/>
      <c r="C34" s="47"/>
      <c r="D34" s="126"/>
      <c r="E34" s="47"/>
      <c r="F34" s="47"/>
    </row>
    <row r="35" spans="1:11">
      <c r="D35" s="126"/>
    </row>
    <row r="36" spans="1:11">
      <c r="D36" s="126"/>
    </row>
    <row r="37" spans="1:11">
      <c r="D37" s="126"/>
    </row>
    <row r="38" spans="1:11">
      <c r="D38" s="126"/>
      <c r="G38" s="40"/>
    </row>
    <row r="39" spans="1:11">
      <c r="D39" s="126"/>
    </row>
    <row r="40" spans="1:11">
      <c r="D40" s="126"/>
    </row>
    <row r="41" spans="1:11">
      <c r="D41" s="126"/>
    </row>
    <row r="42" spans="1:11">
      <c r="D42" s="126"/>
    </row>
    <row r="43" spans="1:11">
      <c r="D43" s="126"/>
    </row>
  </sheetData>
  <mergeCells count="1">
    <mergeCell ref="C6:F6"/>
  </mergeCells>
  <hyperlinks>
    <hyperlink ref="A5:C5" location="Main!G8" display="العودة للصفحة الرئيسية" xr:uid="{00000000-0004-0000-1700-000000000000}"/>
  </hyperlinks>
  <pageMargins left="0.7" right="0.7" top="0.75" bottom="0.75" header="0.3" footer="0.3"/>
  <pageSetup paperSize="9" orientation="portrait" r:id="rId1"/>
  <headerFooter>
    <oddFooter>&amp;C&amp;"Calibri"&amp;11&amp;K000000&amp;"Calibri"&amp;11&amp;K000000&amp;"Calibri"&amp;11&amp;K000000&amp;10&amp;K663300Classification: &amp;K000000 Internal  داخلي_x000D_&amp;1#&amp;"Calibri"&amp;10&amp;K000000Internal - داخلي</oddFooter>
    <evenFooter>&amp;C&amp;10&amp;K663300Classification: &amp;K000000 Internal  داخلي</evenFooter>
    <firstFooter>&amp;C&amp;10&amp;K663300Classification: &amp;K000000 Internal  داخلي</firstFooter>
  </headerFooter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2">
    <pageSetUpPr autoPageBreaks="0"/>
  </sheetPr>
  <dimension ref="A1:R35"/>
  <sheetViews>
    <sheetView showGridLines="0" showRowColHeaders="0" rightToLeft="1" topLeftCell="A13" zoomScale="90" zoomScaleNormal="90" workbookViewId="0">
      <selection activeCell="E7" sqref="E7"/>
    </sheetView>
  </sheetViews>
  <sheetFormatPr defaultColWidth="8.42578125" defaultRowHeight="15"/>
  <cols>
    <col min="1" max="1" width="50.140625" style="26" bestFit="1" customWidth="1"/>
    <col min="2" max="2" width="23.42578125" style="26" customWidth="1"/>
    <col min="3" max="3" width="20.42578125" style="26" bestFit="1" customWidth="1"/>
    <col min="4" max="6" width="17.42578125" style="26" customWidth="1"/>
    <col min="7" max="7" width="15" style="26" customWidth="1"/>
    <col min="8" max="9" width="13.42578125" style="26" customWidth="1"/>
    <col min="10" max="20" width="14.140625" style="26" customWidth="1"/>
    <col min="21" max="16384" width="8.42578125" style="26"/>
  </cols>
  <sheetData>
    <row r="1" spans="1:16" ht="15" customHeight="1">
      <c r="B1" s="28"/>
      <c r="C1" s="28"/>
    </row>
    <row r="2" spans="1:16" ht="15" customHeight="1">
      <c r="A2" s="29"/>
      <c r="B2" s="29"/>
      <c r="C2" s="29"/>
    </row>
    <row r="3" spans="1:16" ht="15" customHeight="1">
      <c r="A3" s="29"/>
      <c r="B3" s="29"/>
      <c r="C3" s="29"/>
    </row>
    <row r="4" spans="1:16" ht="15" customHeight="1">
      <c r="A4" s="29"/>
      <c r="B4" s="29"/>
      <c r="C4" s="29"/>
    </row>
    <row r="5" spans="1:16" ht="15.75">
      <c r="A5" s="5"/>
      <c r="B5" s="5"/>
      <c r="C5" s="5"/>
    </row>
    <row r="6" spans="1:16" ht="55.5" customHeight="1">
      <c r="B6" s="191" t="s">
        <v>679</v>
      </c>
      <c r="C6" s="191"/>
      <c r="D6" s="191"/>
      <c r="E6" s="191"/>
      <c r="F6" s="191"/>
      <c r="G6" s="191"/>
    </row>
    <row r="7" spans="1:16" ht="52.5" customHeight="1" thickBot="1">
      <c r="H7" s="49"/>
      <c r="I7" s="49"/>
      <c r="J7" s="49"/>
    </row>
    <row r="8" spans="1:16" ht="26.25" thickBot="1">
      <c r="F8" s="71" t="s">
        <v>46</v>
      </c>
      <c r="G8" s="52"/>
      <c r="H8" s="52"/>
      <c r="I8" s="52"/>
      <c r="J8" s="52"/>
      <c r="K8" s="52"/>
      <c r="L8" s="52"/>
      <c r="M8" s="52"/>
      <c r="N8" s="52"/>
      <c r="O8" s="52"/>
      <c r="P8" s="52"/>
    </row>
    <row r="9" spans="1:16" ht="48" customHeight="1" thickBot="1">
      <c r="A9" s="107" t="s">
        <v>123</v>
      </c>
      <c r="B9" s="104" t="s">
        <v>95</v>
      </c>
      <c r="C9" s="104" t="s">
        <v>476</v>
      </c>
      <c r="D9" s="104" t="s">
        <v>101</v>
      </c>
      <c r="E9" s="104" t="s">
        <v>477</v>
      </c>
      <c r="F9" s="104" t="s">
        <v>464</v>
      </c>
      <c r="G9" s="104" t="s">
        <v>594</v>
      </c>
      <c r="H9" s="104" t="s">
        <v>617</v>
      </c>
      <c r="I9" s="52"/>
      <c r="J9" s="52"/>
      <c r="K9" s="52"/>
      <c r="L9" s="52"/>
      <c r="M9" s="52"/>
      <c r="N9" s="52"/>
    </row>
    <row r="10" spans="1:16" ht="29.25" customHeight="1" thickTop="1" thickBot="1">
      <c r="A10" s="106" t="s">
        <v>383</v>
      </c>
      <c r="B10" s="78">
        <v>445.65899999999999</v>
      </c>
      <c r="C10" s="78">
        <v>1437.0510690000001</v>
      </c>
      <c r="D10" s="78">
        <v>2033.33348</v>
      </c>
      <c r="E10" s="145">
        <v>2118.1491070000002</v>
      </c>
      <c r="F10" s="145">
        <v>1665.582283</v>
      </c>
      <c r="G10" s="145">
        <v>1596.9193049999999</v>
      </c>
      <c r="H10" s="145">
        <v>2043.9</v>
      </c>
      <c r="I10" s="52"/>
      <c r="J10" s="52"/>
      <c r="K10" s="52"/>
      <c r="L10" s="52"/>
      <c r="M10" s="52"/>
      <c r="N10" s="52"/>
      <c r="O10" s="20"/>
      <c r="P10" s="20"/>
    </row>
    <row r="11" spans="1:16" ht="29.25" customHeight="1" thickTop="1" thickBot="1">
      <c r="A11" s="106" t="s">
        <v>466</v>
      </c>
      <c r="B11" s="78">
        <v>34.264528999999996</v>
      </c>
      <c r="C11" s="78">
        <v>54.741999999999997</v>
      </c>
      <c r="D11" s="78">
        <v>58.009</v>
      </c>
      <c r="E11" s="78">
        <v>162.50200000000001</v>
      </c>
      <c r="F11" s="145">
        <v>1338.7611810000001</v>
      </c>
      <c r="G11" s="78">
        <v>1817.3110529999999</v>
      </c>
      <c r="H11" s="78">
        <v>3210.3</v>
      </c>
      <c r="I11" s="52"/>
      <c r="J11" s="52"/>
      <c r="K11" s="52"/>
      <c r="L11" s="52"/>
      <c r="M11" s="52"/>
      <c r="N11" s="52"/>
      <c r="O11" s="20"/>
      <c r="P11" s="20"/>
    </row>
    <row r="12" spans="1:16" ht="29.25" customHeight="1" thickTop="1" thickBot="1">
      <c r="A12" s="106" t="s">
        <v>384</v>
      </c>
      <c r="B12" s="78" t="s">
        <v>6</v>
      </c>
      <c r="C12" s="78">
        <v>94.450061000000005</v>
      </c>
      <c r="D12" s="78">
        <v>486.25885199999999</v>
      </c>
      <c r="E12" s="78">
        <v>718.47253899999998</v>
      </c>
      <c r="F12" s="145">
        <v>745.67899999999997</v>
      </c>
      <c r="G12" s="78">
        <v>955.33926399999996</v>
      </c>
      <c r="H12" s="78">
        <v>1167.92</v>
      </c>
      <c r="I12" s="52"/>
      <c r="J12" s="52"/>
      <c r="K12" s="52"/>
      <c r="L12" s="52"/>
      <c r="M12" s="52"/>
      <c r="N12" s="52"/>
      <c r="O12" s="20"/>
      <c r="P12" s="20"/>
    </row>
    <row r="13" spans="1:16" ht="29.25" customHeight="1" thickTop="1" thickBot="1">
      <c r="A13" s="106" t="s">
        <v>467</v>
      </c>
      <c r="B13" s="78">
        <v>184.09800000000001</v>
      </c>
      <c r="C13" s="78">
        <v>241.411</v>
      </c>
      <c r="D13" s="78">
        <v>1533.46486</v>
      </c>
      <c r="E13" s="78">
        <v>1977.5388509999991</v>
      </c>
      <c r="F13" s="145">
        <v>2306.3470440000001</v>
      </c>
      <c r="G13" s="78">
        <v>2507.6231050000001</v>
      </c>
      <c r="H13" s="78">
        <v>2496.77</v>
      </c>
      <c r="I13" s="52"/>
      <c r="J13" s="52"/>
      <c r="K13" s="52"/>
      <c r="L13" s="52"/>
      <c r="M13" s="52"/>
      <c r="N13" s="52"/>
      <c r="O13" s="20"/>
      <c r="P13" s="20"/>
    </row>
    <row r="14" spans="1:16" ht="29.25" customHeight="1" thickTop="1" thickBot="1">
      <c r="A14" s="106" t="s">
        <v>385</v>
      </c>
      <c r="B14" s="78" t="s">
        <v>6</v>
      </c>
      <c r="C14" s="78">
        <v>56.186999999999998</v>
      </c>
      <c r="D14" s="78">
        <v>54.616999999999997</v>
      </c>
      <c r="E14" s="78">
        <v>56.984000000000002</v>
      </c>
      <c r="F14" s="145">
        <v>56.265000000000001</v>
      </c>
      <c r="G14" s="78">
        <v>58.097999999999999</v>
      </c>
      <c r="H14" s="78">
        <v>57.09</v>
      </c>
      <c r="I14" s="52"/>
      <c r="J14" s="52"/>
      <c r="K14" s="52"/>
      <c r="L14" s="52"/>
      <c r="M14" s="52"/>
      <c r="N14" s="52"/>
      <c r="O14" s="20"/>
      <c r="P14" s="20"/>
    </row>
    <row r="15" spans="1:16" ht="29.25" customHeight="1" thickTop="1" thickBot="1">
      <c r="A15" s="106" t="s">
        <v>386</v>
      </c>
      <c r="B15" s="78">
        <v>1952.481</v>
      </c>
      <c r="C15" s="78">
        <v>2128.9304739999998</v>
      </c>
      <c r="D15" s="78">
        <v>2356.0508580000001</v>
      </c>
      <c r="E15" s="78">
        <v>2592.0268879999999</v>
      </c>
      <c r="F15" s="145">
        <v>2953.111476</v>
      </c>
      <c r="G15" s="78">
        <v>1803.9765130000001</v>
      </c>
      <c r="H15" s="78">
        <v>2387.38</v>
      </c>
      <c r="I15" s="52"/>
      <c r="J15" s="52"/>
      <c r="K15" s="52"/>
      <c r="L15" s="52"/>
      <c r="M15" s="52"/>
      <c r="N15" s="52"/>
      <c r="O15" s="20"/>
      <c r="P15" s="20"/>
    </row>
    <row r="16" spans="1:16" ht="29.25" customHeight="1" thickTop="1" thickBot="1">
      <c r="A16" s="106" t="s">
        <v>468</v>
      </c>
      <c r="B16" s="78">
        <v>14.664294</v>
      </c>
      <c r="C16" s="78">
        <v>14.01003</v>
      </c>
      <c r="D16" s="78">
        <v>122.024495</v>
      </c>
      <c r="E16" s="78">
        <v>185.96191999999999</v>
      </c>
      <c r="F16" s="145">
        <v>623.32020699999998</v>
      </c>
      <c r="G16" s="78">
        <v>699.00701100000003</v>
      </c>
      <c r="H16" s="78">
        <v>789.02</v>
      </c>
      <c r="I16" s="52"/>
      <c r="J16" s="52"/>
      <c r="K16" s="52"/>
      <c r="L16" s="52"/>
      <c r="M16" s="52"/>
      <c r="N16" s="52"/>
      <c r="O16" s="20"/>
      <c r="P16" s="20"/>
    </row>
    <row r="17" spans="1:18" ht="29.25" customHeight="1" thickTop="1" thickBot="1">
      <c r="A17" s="106" t="s">
        <v>463</v>
      </c>
      <c r="B17" s="78" t="s">
        <v>6</v>
      </c>
      <c r="C17" s="78">
        <v>29.062000000000001</v>
      </c>
      <c r="D17" s="78">
        <v>1029.9190000000001</v>
      </c>
      <c r="E17" s="78">
        <v>1162.0270800000001</v>
      </c>
      <c r="F17" s="145">
        <v>110.529291</v>
      </c>
      <c r="G17" s="78">
        <v>203.50524799999999</v>
      </c>
      <c r="H17" s="78">
        <v>227.52</v>
      </c>
      <c r="I17" s="52"/>
      <c r="J17" s="52"/>
      <c r="K17" s="52"/>
      <c r="L17" s="52"/>
      <c r="M17" s="52"/>
      <c r="N17" s="52"/>
      <c r="O17" s="20"/>
      <c r="P17" s="20"/>
    </row>
    <row r="18" spans="1:18" ht="29.25" customHeight="1" thickTop="1" thickBot="1">
      <c r="A18" s="106" t="s">
        <v>387</v>
      </c>
      <c r="B18" s="78" t="s">
        <v>6</v>
      </c>
      <c r="C18" s="78" t="s">
        <v>6</v>
      </c>
      <c r="D18" s="78">
        <v>32.152999999999999</v>
      </c>
      <c r="E18" s="78">
        <v>34.255000000000003</v>
      </c>
      <c r="F18" s="145" t="s">
        <v>6</v>
      </c>
      <c r="G18" s="145" t="s">
        <v>6</v>
      </c>
      <c r="H18" s="78" t="s">
        <v>6</v>
      </c>
      <c r="I18" s="52"/>
      <c r="J18" s="52"/>
      <c r="K18" s="52"/>
      <c r="L18" s="52"/>
      <c r="M18" s="52"/>
      <c r="N18" s="52"/>
      <c r="O18" s="20"/>
      <c r="P18" s="20"/>
    </row>
    <row r="19" spans="1:18" ht="29.25" customHeight="1" thickTop="1" thickBot="1">
      <c r="A19" s="106" t="s">
        <v>388</v>
      </c>
      <c r="B19" s="78" t="s">
        <v>6</v>
      </c>
      <c r="C19" s="78" t="s">
        <v>6</v>
      </c>
      <c r="D19" s="78">
        <v>146.68600000000001</v>
      </c>
      <c r="E19" s="78">
        <v>196.27051</v>
      </c>
      <c r="F19" s="145">
        <v>304.48500000000001</v>
      </c>
      <c r="G19" s="78">
        <v>373.621645</v>
      </c>
      <c r="H19" s="78">
        <v>585.62</v>
      </c>
      <c r="I19" s="126"/>
      <c r="J19" s="52"/>
      <c r="K19" s="52"/>
      <c r="L19" s="52"/>
      <c r="M19" s="52"/>
      <c r="N19" s="52"/>
      <c r="O19" s="20"/>
      <c r="P19" s="20"/>
    </row>
    <row r="20" spans="1:18" ht="29.25" customHeight="1" thickTop="1" thickBot="1">
      <c r="A20" s="106" t="s">
        <v>389</v>
      </c>
      <c r="B20" s="78" t="s">
        <v>6</v>
      </c>
      <c r="C20" s="78" t="s">
        <v>6</v>
      </c>
      <c r="D20" s="78">
        <v>153.666</v>
      </c>
      <c r="E20" s="92">
        <v>427.00095299999998</v>
      </c>
      <c r="F20" s="145">
        <v>535.94354599999997</v>
      </c>
      <c r="G20" s="78">
        <v>613.01254700000004</v>
      </c>
      <c r="H20" s="78">
        <v>670.34</v>
      </c>
      <c r="I20" s="126"/>
      <c r="J20" s="52"/>
      <c r="K20" s="52"/>
      <c r="L20" s="52"/>
      <c r="M20" s="52"/>
      <c r="N20" s="52"/>
      <c r="O20" s="20"/>
      <c r="P20" s="20"/>
    </row>
    <row r="21" spans="1:18" ht="29.25" customHeight="1" thickTop="1" thickBot="1">
      <c r="A21" s="106" t="s">
        <v>465</v>
      </c>
      <c r="B21" s="78" t="s">
        <v>6</v>
      </c>
      <c r="C21" s="78" t="s">
        <v>6</v>
      </c>
      <c r="D21" s="78" t="s">
        <v>6</v>
      </c>
      <c r="E21" s="78" t="s">
        <v>6</v>
      </c>
      <c r="F21" s="145">
        <v>77.953000000000003</v>
      </c>
      <c r="G21" s="78">
        <v>106.598254</v>
      </c>
      <c r="H21" s="78">
        <v>116.44</v>
      </c>
      <c r="I21" s="52"/>
      <c r="J21" s="52"/>
      <c r="K21" s="126"/>
      <c r="L21" s="52"/>
      <c r="M21" s="52"/>
      <c r="N21" s="52"/>
      <c r="O21" s="52"/>
      <c r="P21" s="52"/>
      <c r="Q21" s="20"/>
      <c r="R21" s="20"/>
    </row>
    <row r="22" spans="1:18" ht="29.25" customHeight="1" thickTop="1" thickBot="1">
      <c r="A22" s="106" t="s">
        <v>461</v>
      </c>
      <c r="B22" s="78" t="s">
        <v>6</v>
      </c>
      <c r="C22" s="78" t="s">
        <v>6</v>
      </c>
      <c r="D22" s="78" t="s">
        <v>6</v>
      </c>
      <c r="E22" s="78" t="s">
        <v>6</v>
      </c>
      <c r="F22" s="145">
        <v>60.865000000000002</v>
      </c>
      <c r="G22" s="78">
        <v>193.601</v>
      </c>
      <c r="H22" s="78">
        <v>197.92</v>
      </c>
      <c r="I22" s="52"/>
      <c r="J22" s="52"/>
      <c r="K22" s="126"/>
      <c r="L22" s="52"/>
      <c r="M22" s="52"/>
      <c r="N22" s="52"/>
      <c r="O22" s="52"/>
      <c r="P22" s="52"/>
      <c r="Q22" s="20"/>
      <c r="R22" s="20"/>
    </row>
    <row r="23" spans="1:18" ht="29.25" customHeight="1" thickTop="1" thickBot="1">
      <c r="A23" s="106" t="s">
        <v>460</v>
      </c>
      <c r="B23" s="78" t="s">
        <v>6</v>
      </c>
      <c r="C23" s="78" t="s">
        <v>6</v>
      </c>
      <c r="D23" s="78" t="s">
        <v>6</v>
      </c>
      <c r="E23" s="78" t="s">
        <v>6</v>
      </c>
      <c r="F23" s="78" t="s">
        <v>6</v>
      </c>
      <c r="G23" s="78">
        <v>289.399</v>
      </c>
      <c r="H23" s="78">
        <v>1002.71</v>
      </c>
      <c r="I23" s="52"/>
      <c r="J23" s="52"/>
      <c r="K23" s="126"/>
      <c r="L23" s="52"/>
      <c r="M23" s="52"/>
      <c r="N23" s="52"/>
      <c r="O23" s="52"/>
      <c r="P23" s="52"/>
      <c r="Q23" s="20"/>
      <c r="R23" s="20"/>
    </row>
    <row r="24" spans="1:18" ht="29.25" customHeight="1" thickTop="1" thickBot="1">
      <c r="A24" s="106" t="s">
        <v>375</v>
      </c>
      <c r="B24" s="78" t="s">
        <v>6</v>
      </c>
      <c r="C24" s="78" t="s">
        <v>6</v>
      </c>
      <c r="D24" s="78" t="s">
        <v>6</v>
      </c>
      <c r="E24" s="78" t="s">
        <v>6</v>
      </c>
      <c r="F24" s="78" t="s">
        <v>6</v>
      </c>
      <c r="G24" s="92">
        <v>227.40100000000001</v>
      </c>
      <c r="H24" s="92">
        <v>241.42</v>
      </c>
      <c r="I24" s="52"/>
      <c r="J24" s="52"/>
      <c r="K24" s="126"/>
      <c r="L24" s="52"/>
      <c r="M24" s="52"/>
      <c r="N24" s="52"/>
      <c r="O24" s="52"/>
      <c r="P24" s="52"/>
      <c r="Q24" s="20"/>
      <c r="R24" s="20"/>
    </row>
    <row r="25" spans="1:18" ht="29.25" customHeight="1" thickTop="1">
      <c r="A25" s="23" t="s">
        <v>27</v>
      </c>
      <c r="G25" s="147" t="s">
        <v>29</v>
      </c>
      <c r="H25" s="52"/>
      <c r="I25" s="52"/>
      <c r="J25" s="52"/>
      <c r="K25" s="126"/>
      <c r="L25" s="52"/>
      <c r="M25" s="52"/>
      <c r="N25" s="52"/>
      <c r="O25" s="52"/>
      <c r="P25" s="52"/>
      <c r="Q25" s="20"/>
      <c r="R25" s="20"/>
    </row>
    <row r="26" spans="1:18" ht="29.25" customHeight="1">
      <c r="F26" s="52"/>
      <c r="G26" s="52"/>
      <c r="H26" s="52"/>
      <c r="I26" s="52"/>
      <c r="J26" s="52"/>
      <c r="K26" s="126"/>
      <c r="L26" s="52"/>
      <c r="M26" s="52"/>
      <c r="N26" s="52"/>
      <c r="O26" s="52"/>
      <c r="P26" s="52"/>
      <c r="Q26" s="20"/>
      <c r="R26" s="20"/>
    </row>
    <row r="27" spans="1:18" ht="29.25" customHeight="1">
      <c r="F27" s="52"/>
      <c r="G27" s="52"/>
      <c r="H27" s="52"/>
      <c r="I27" s="52"/>
      <c r="J27" s="52"/>
      <c r="K27" s="126"/>
      <c r="L27" s="52"/>
      <c r="M27" s="52"/>
      <c r="N27" s="52"/>
      <c r="O27" s="52"/>
      <c r="P27" s="52"/>
      <c r="Q27" s="20"/>
    </row>
    <row r="28" spans="1:18" ht="29.25" customHeight="1">
      <c r="F28" s="52"/>
      <c r="G28" s="52"/>
      <c r="H28" s="52"/>
      <c r="I28" s="52"/>
      <c r="J28" s="52"/>
      <c r="K28" s="126"/>
      <c r="L28" s="52"/>
      <c r="M28" s="52"/>
      <c r="N28" s="52"/>
      <c r="O28" s="52"/>
      <c r="P28" s="52"/>
      <c r="Q28" s="20"/>
    </row>
    <row r="29" spans="1:18" ht="29.25" customHeight="1">
      <c r="F29" s="52"/>
      <c r="G29" s="52"/>
      <c r="H29" s="52"/>
      <c r="I29" s="52"/>
      <c r="J29" s="52"/>
      <c r="K29" s="126"/>
      <c r="L29" s="52"/>
      <c r="M29" s="52"/>
      <c r="N29" s="52"/>
      <c r="O29" s="52"/>
      <c r="P29" s="52"/>
    </row>
    <row r="30" spans="1:18">
      <c r="K30" s="126"/>
    </row>
    <row r="31" spans="1:18">
      <c r="K31" s="126"/>
    </row>
    <row r="32" spans="1:18">
      <c r="F32" s="47"/>
      <c r="G32" s="47"/>
      <c r="H32" s="47"/>
      <c r="J32" s="47"/>
      <c r="K32" s="126"/>
    </row>
    <row r="33" spans="6:11">
      <c r="F33" s="47"/>
      <c r="G33" s="47"/>
      <c r="H33" s="47"/>
      <c r="I33" s="51"/>
      <c r="J33" s="51"/>
      <c r="K33" s="126"/>
    </row>
    <row r="34" spans="6:11">
      <c r="K34" s="126" t="e">
        <f>#REF!&amp;" "&amp;#REF!&amp;" "&amp;#REF!</f>
        <v>#REF!</v>
      </c>
    </row>
    <row r="35" spans="6:11">
      <c r="K35" s="126" t="str">
        <f t="shared" ref="K35" si="0">A26&amp;" "&amp;B26&amp;" "&amp;C26</f>
        <v xml:space="preserve">  </v>
      </c>
    </row>
  </sheetData>
  <mergeCells count="1">
    <mergeCell ref="B6:G6"/>
  </mergeCells>
  <hyperlinks>
    <hyperlink ref="A5:C5" location="Main!G8" display="العودة للصفحة الرئيسية" xr:uid="{00000000-0004-0000-1800-000000000000}"/>
  </hyperlinks>
  <pageMargins left="0.7" right="0.7" top="0.75" bottom="0.75" header="0.3" footer="0.3"/>
  <pageSetup paperSize="9" orientation="portrait" r:id="rId1"/>
  <headerFooter>
    <oddFooter>&amp;C&amp;"Calibri"&amp;11&amp;K000000&amp;"Calibri"&amp;11&amp;K000000&amp;"Calibri"&amp;11&amp;K000000&amp;10&amp;K663300Classification: &amp;K000000 Internal  داخلي_x000D_&amp;1#&amp;"Calibri"&amp;10&amp;K000000Internal - داخلي</oddFooter>
    <evenFooter>&amp;C&amp;10&amp;K663300Classification: &amp;K000000 Internal  داخلي</evenFooter>
    <firstFooter>&amp;C&amp;10&amp;K663300Classification: &amp;K000000 Internal  داخلي</firstFooter>
  </headerFooter>
  <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3">
    <pageSetUpPr autoPageBreaks="0"/>
  </sheetPr>
  <dimension ref="A1:R44"/>
  <sheetViews>
    <sheetView showGridLines="0" showRowColHeaders="0" rightToLeft="1" topLeftCell="A16" zoomScale="90" zoomScaleNormal="90" workbookViewId="0">
      <selection activeCell="C6" sqref="C6:G6"/>
    </sheetView>
  </sheetViews>
  <sheetFormatPr defaultColWidth="8.42578125" defaultRowHeight="15"/>
  <cols>
    <col min="1" max="1" width="30.85546875" style="26" customWidth="1"/>
    <col min="2" max="2" width="23.42578125" style="26" customWidth="1"/>
    <col min="3" max="3" width="20.42578125" style="26" customWidth="1"/>
    <col min="4" max="10" width="17.42578125" style="26" customWidth="1"/>
    <col min="11" max="24" width="14.42578125" style="26" customWidth="1"/>
    <col min="25" max="16384" width="8.42578125" style="26"/>
  </cols>
  <sheetData>
    <row r="1" spans="1:16" ht="15" customHeight="1">
      <c r="B1" s="28"/>
      <c r="C1" s="28"/>
    </row>
    <row r="2" spans="1:16" ht="15" customHeight="1">
      <c r="A2" s="29"/>
      <c r="B2" s="29"/>
      <c r="C2" s="29"/>
    </row>
    <row r="3" spans="1:16" ht="15" customHeight="1">
      <c r="A3" s="29"/>
      <c r="B3" s="29"/>
      <c r="C3" s="29"/>
    </row>
    <row r="4" spans="1:16" ht="15" customHeight="1">
      <c r="A4" s="29"/>
      <c r="B4" s="29"/>
      <c r="C4" s="29"/>
    </row>
    <row r="5" spans="1:16" ht="15.75">
      <c r="A5" s="5"/>
      <c r="B5" s="5"/>
      <c r="C5" s="5"/>
    </row>
    <row r="6" spans="1:16" ht="75.75" customHeight="1">
      <c r="C6" s="191" t="s">
        <v>680</v>
      </c>
      <c r="D6" s="191"/>
      <c r="E6" s="191"/>
      <c r="F6" s="191"/>
      <c r="G6" s="191"/>
    </row>
    <row r="7" spans="1:16" ht="48" customHeight="1" thickBot="1">
      <c r="F7" s="71"/>
      <c r="H7" s="49"/>
      <c r="I7" s="49"/>
      <c r="J7" s="49"/>
    </row>
    <row r="8" spans="1:16" ht="26.25" thickBot="1">
      <c r="G8" s="71" t="s">
        <v>46</v>
      </c>
      <c r="I8" s="52"/>
      <c r="J8" s="52"/>
      <c r="K8" s="52"/>
      <c r="L8" s="52"/>
      <c r="M8" s="52"/>
      <c r="N8" s="52"/>
      <c r="O8" s="52"/>
      <c r="P8" s="52"/>
    </row>
    <row r="9" spans="1:16" ht="49.5" customHeight="1" thickBot="1">
      <c r="A9" s="107" t="s">
        <v>123</v>
      </c>
      <c r="B9" s="104" t="s">
        <v>95</v>
      </c>
      <c r="C9" s="104" t="s">
        <v>476</v>
      </c>
      <c r="D9" s="104" t="s">
        <v>101</v>
      </c>
      <c r="E9" s="104" t="s">
        <v>477</v>
      </c>
      <c r="F9" s="104" t="s">
        <v>464</v>
      </c>
      <c r="G9" s="104" t="s">
        <v>594</v>
      </c>
      <c r="H9" s="104" t="s">
        <v>617</v>
      </c>
      <c r="I9" s="52"/>
      <c r="J9" s="52"/>
      <c r="K9" s="52"/>
      <c r="L9" s="52"/>
      <c r="M9" s="52"/>
      <c r="N9" s="52"/>
    </row>
    <row r="10" spans="1:16" ht="29.25" customHeight="1" thickTop="1" thickBot="1">
      <c r="A10" s="106" t="s">
        <v>383</v>
      </c>
      <c r="B10" s="78">
        <v>472.99299999999999</v>
      </c>
      <c r="C10" s="78">
        <v>1847.6059930000004</v>
      </c>
      <c r="D10" s="78">
        <v>3975.5703600000002</v>
      </c>
      <c r="E10" s="145">
        <v>4191.9828559999996</v>
      </c>
      <c r="F10" s="145">
        <v>3839.7035139999998</v>
      </c>
      <c r="G10" s="145">
        <v>4090.0917209999998</v>
      </c>
      <c r="H10" s="145">
        <v>5044.8500000000004</v>
      </c>
      <c r="I10" s="52"/>
      <c r="J10" s="52"/>
      <c r="K10" s="52"/>
      <c r="L10" s="52"/>
      <c r="M10" s="52"/>
      <c r="N10" s="52"/>
      <c r="O10" s="20"/>
      <c r="P10" s="20"/>
    </row>
    <row r="11" spans="1:16" ht="29.25" customHeight="1" thickTop="1" thickBot="1">
      <c r="A11" s="106" t="s">
        <v>466</v>
      </c>
      <c r="B11" s="78">
        <v>109.001952</v>
      </c>
      <c r="C11" s="78">
        <v>143.67500000000001</v>
      </c>
      <c r="D11" s="78">
        <v>154.13800000000001</v>
      </c>
      <c r="E11" s="78">
        <v>273.541</v>
      </c>
      <c r="F11" s="145">
        <v>1947.1858460000001</v>
      </c>
      <c r="G11" s="78">
        <v>2971.6441890000001</v>
      </c>
      <c r="H11" s="78">
        <v>4961.3599999999997</v>
      </c>
      <c r="I11" s="52"/>
      <c r="J11" s="52"/>
      <c r="K11" s="52"/>
      <c r="L11" s="52"/>
      <c r="M11" s="52"/>
      <c r="N11" s="52"/>
      <c r="O11" s="20"/>
      <c r="P11" s="20"/>
    </row>
    <row r="12" spans="1:16" ht="29.25" customHeight="1" thickTop="1" thickBot="1">
      <c r="A12" s="106" t="s">
        <v>384</v>
      </c>
      <c r="B12" s="78" t="s">
        <v>6</v>
      </c>
      <c r="C12" s="78">
        <v>116.735929</v>
      </c>
      <c r="D12" s="78">
        <v>1373.0218520000001</v>
      </c>
      <c r="E12" s="78">
        <v>1932.84132</v>
      </c>
      <c r="F12" s="145">
        <v>2058.2629999999999</v>
      </c>
      <c r="G12" s="78">
        <v>2470.7691</v>
      </c>
      <c r="H12" s="78">
        <v>2803.2</v>
      </c>
      <c r="I12" s="52"/>
      <c r="J12" s="52"/>
      <c r="K12" s="52"/>
      <c r="L12" s="52"/>
      <c r="M12" s="52"/>
      <c r="N12" s="52"/>
      <c r="O12" s="20"/>
      <c r="P12" s="20"/>
    </row>
    <row r="13" spans="1:16" ht="29.25" customHeight="1" thickTop="1" thickBot="1">
      <c r="A13" s="106" t="s">
        <v>467</v>
      </c>
      <c r="B13" s="78">
        <v>543.03200000000004</v>
      </c>
      <c r="C13" s="78">
        <v>609.80799999999999</v>
      </c>
      <c r="D13" s="78">
        <v>2607.1720890000001</v>
      </c>
      <c r="E13" s="78">
        <v>3102.74001</v>
      </c>
      <c r="F13" s="145">
        <v>4351.1988259999998</v>
      </c>
      <c r="G13" s="78">
        <v>4623.8334670000004</v>
      </c>
      <c r="H13" s="78">
        <v>4898.0200000000004</v>
      </c>
      <c r="I13" s="52"/>
      <c r="J13" s="52"/>
      <c r="K13" s="52"/>
      <c r="L13" s="52"/>
      <c r="M13" s="52"/>
      <c r="N13" s="52"/>
      <c r="O13" s="20"/>
      <c r="P13" s="20"/>
    </row>
    <row r="14" spans="1:16" ht="29.25" customHeight="1" thickTop="1" thickBot="1">
      <c r="A14" s="106" t="s">
        <v>385</v>
      </c>
      <c r="B14" s="78" t="s">
        <v>6</v>
      </c>
      <c r="C14" s="78">
        <v>90.625</v>
      </c>
      <c r="D14" s="78">
        <v>92.494</v>
      </c>
      <c r="E14" s="78">
        <v>86.343999999999994</v>
      </c>
      <c r="F14" s="145">
        <v>94.298000000000002</v>
      </c>
      <c r="G14" s="78">
        <v>88.406000000000006</v>
      </c>
      <c r="H14" s="78">
        <v>90.88</v>
      </c>
      <c r="I14" s="52"/>
      <c r="J14" s="52"/>
      <c r="K14" s="52"/>
      <c r="L14" s="52"/>
      <c r="M14" s="52"/>
      <c r="N14" s="52"/>
      <c r="O14" s="20"/>
      <c r="P14" s="20"/>
    </row>
    <row r="15" spans="1:16" ht="29.25" customHeight="1" thickTop="1" thickBot="1">
      <c r="A15" s="106" t="s">
        <v>386</v>
      </c>
      <c r="B15" s="78">
        <v>2378.2460000000001</v>
      </c>
      <c r="C15" s="78">
        <v>4268.1262350000006</v>
      </c>
      <c r="D15" s="78">
        <v>3822.689237</v>
      </c>
      <c r="E15" s="78">
        <v>4320.3519180000003</v>
      </c>
      <c r="F15" s="145">
        <v>4710.9054219999998</v>
      </c>
      <c r="G15" s="78">
        <v>3733.0452300000002</v>
      </c>
      <c r="H15" s="78">
        <v>4596.3999999999996</v>
      </c>
      <c r="I15" s="52"/>
      <c r="J15" s="52"/>
      <c r="K15" s="52"/>
      <c r="L15" s="52"/>
      <c r="M15" s="52"/>
      <c r="N15" s="52"/>
      <c r="O15" s="20"/>
      <c r="P15" s="20"/>
    </row>
    <row r="16" spans="1:16" ht="29.25" customHeight="1" thickTop="1" thickBot="1">
      <c r="A16" s="106" t="s">
        <v>468</v>
      </c>
      <c r="B16" s="78">
        <v>23.899259999999998</v>
      </c>
      <c r="C16" s="78">
        <v>22.521674999999998</v>
      </c>
      <c r="D16" s="78">
        <v>275.04919100000001</v>
      </c>
      <c r="E16" s="78">
        <v>360.30056200000001</v>
      </c>
      <c r="F16" s="145">
        <v>1002.712416</v>
      </c>
      <c r="G16" s="78">
        <v>1112.3383140000001</v>
      </c>
      <c r="H16" s="78">
        <v>1260.21</v>
      </c>
      <c r="I16" s="52"/>
      <c r="J16" s="52"/>
      <c r="K16" s="52"/>
      <c r="L16" s="52"/>
      <c r="M16" s="52"/>
      <c r="N16" s="52"/>
      <c r="O16" s="20"/>
      <c r="P16" s="20"/>
    </row>
    <row r="17" spans="1:18" ht="29.25" customHeight="1" thickTop="1" thickBot="1">
      <c r="A17" s="106" t="s">
        <v>463</v>
      </c>
      <c r="B17" s="78" t="s">
        <v>6</v>
      </c>
      <c r="C17" s="78">
        <v>95.98</v>
      </c>
      <c r="D17" s="78">
        <v>1764.4280000000001</v>
      </c>
      <c r="E17" s="78">
        <v>1873.4454900000001</v>
      </c>
      <c r="F17" s="145">
        <v>512.05121299999996</v>
      </c>
      <c r="G17" s="78">
        <v>589.45476199999996</v>
      </c>
      <c r="H17" s="78">
        <v>566.37</v>
      </c>
      <c r="I17" s="52"/>
      <c r="J17" s="52"/>
      <c r="K17" s="52"/>
      <c r="L17" s="52"/>
      <c r="M17" s="52"/>
      <c r="N17" s="52"/>
      <c r="O17" s="20"/>
      <c r="P17" s="20"/>
    </row>
    <row r="18" spans="1:18" ht="29.25" customHeight="1" thickTop="1" thickBot="1">
      <c r="A18" s="106" t="s">
        <v>387</v>
      </c>
      <c r="B18" s="78" t="s">
        <v>6</v>
      </c>
      <c r="C18" s="78" t="s">
        <v>6</v>
      </c>
      <c r="D18" s="78">
        <v>47.792000000000002</v>
      </c>
      <c r="E18" s="78">
        <v>58.335000000000001</v>
      </c>
      <c r="F18" s="78" t="s">
        <v>6</v>
      </c>
      <c r="G18" s="78" t="s">
        <v>6</v>
      </c>
      <c r="H18" s="78" t="s">
        <v>6</v>
      </c>
      <c r="I18" s="52"/>
      <c r="J18" s="52"/>
      <c r="K18" s="52"/>
      <c r="L18" s="52"/>
      <c r="M18" s="52"/>
      <c r="N18" s="52"/>
      <c r="O18" s="20"/>
      <c r="P18" s="20"/>
    </row>
    <row r="19" spans="1:18" ht="29.25" customHeight="1" thickTop="1" thickBot="1">
      <c r="A19" s="106" t="s">
        <v>388</v>
      </c>
      <c r="B19" s="78" t="s">
        <v>6</v>
      </c>
      <c r="C19" s="78" t="s">
        <v>6</v>
      </c>
      <c r="D19" s="78">
        <v>173.57499999999999</v>
      </c>
      <c r="E19" s="78">
        <v>273.03919500000001</v>
      </c>
      <c r="F19" s="145">
        <v>449.26100000000002</v>
      </c>
      <c r="G19" s="78">
        <v>601.54809699999998</v>
      </c>
      <c r="H19" s="78">
        <v>1155.18</v>
      </c>
      <c r="I19" s="52"/>
      <c r="J19" s="52"/>
      <c r="K19" s="52"/>
      <c r="L19" s="52"/>
      <c r="M19" s="52"/>
      <c r="N19" s="52"/>
      <c r="O19" s="20"/>
      <c r="P19" s="20"/>
    </row>
    <row r="20" spans="1:18" ht="29.25" customHeight="1" thickTop="1" thickBot="1">
      <c r="A20" s="106" t="s">
        <v>389</v>
      </c>
      <c r="B20" s="78" t="s">
        <v>6</v>
      </c>
      <c r="C20" s="78" t="s">
        <v>6</v>
      </c>
      <c r="D20" s="78">
        <v>294.62099999999998</v>
      </c>
      <c r="E20" s="92">
        <v>767.04690700000003</v>
      </c>
      <c r="F20" s="145">
        <v>960.167193</v>
      </c>
      <c r="G20" s="78">
        <v>1080.7745789999999</v>
      </c>
      <c r="H20" s="78">
        <v>1210.8499999999999</v>
      </c>
      <c r="I20" s="52"/>
      <c r="J20" s="52"/>
      <c r="K20" s="52"/>
      <c r="L20" s="52"/>
      <c r="M20" s="52"/>
      <c r="N20" s="52"/>
      <c r="O20" s="20"/>
      <c r="P20" s="20"/>
    </row>
    <row r="21" spans="1:18" ht="29.25" customHeight="1" thickTop="1" thickBot="1">
      <c r="A21" s="106" t="s">
        <v>465</v>
      </c>
      <c r="B21" s="78" t="s">
        <v>6</v>
      </c>
      <c r="C21" s="78" t="s">
        <v>6</v>
      </c>
      <c r="D21" s="78" t="s">
        <v>6</v>
      </c>
      <c r="E21" s="78" t="s">
        <v>6</v>
      </c>
      <c r="F21" s="145">
        <v>131.89099999999999</v>
      </c>
      <c r="G21" s="78">
        <v>186.525811</v>
      </c>
      <c r="H21" s="78">
        <v>223.46</v>
      </c>
      <c r="I21" s="52"/>
      <c r="J21" s="52"/>
      <c r="K21" s="52"/>
      <c r="L21" s="52"/>
      <c r="M21" s="52"/>
      <c r="N21" s="52"/>
      <c r="O21" s="52"/>
      <c r="P21" s="52"/>
      <c r="Q21" s="20"/>
      <c r="R21" s="20"/>
    </row>
    <row r="22" spans="1:18" ht="29.25" customHeight="1" thickTop="1" thickBot="1">
      <c r="A22" s="106" t="s">
        <v>461</v>
      </c>
      <c r="B22" s="78" t="s">
        <v>6</v>
      </c>
      <c r="C22" s="78" t="s">
        <v>6</v>
      </c>
      <c r="D22" s="78" t="s">
        <v>6</v>
      </c>
      <c r="E22" s="78" t="s">
        <v>6</v>
      </c>
      <c r="F22" s="145">
        <v>102.28400000000001</v>
      </c>
      <c r="G22" s="78">
        <v>554.03300000000002</v>
      </c>
      <c r="H22" s="78">
        <v>603.86</v>
      </c>
      <c r="I22" s="52"/>
      <c r="J22" s="52"/>
      <c r="K22" s="52"/>
      <c r="L22" s="52"/>
      <c r="M22" s="52"/>
      <c r="N22" s="52"/>
      <c r="O22" s="52"/>
      <c r="P22" s="52"/>
      <c r="Q22" s="20"/>
      <c r="R22" s="20"/>
    </row>
    <row r="23" spans="1:18" ht="29.25" customHeight="1" thickTop="1" thickBot="1">
      <c r="A23" s="106" t="s">
        <v>460</v>
      </c>
      <c r="B23" s="78" t="s">
        <v>6</v>
      </c>
      <c r="C23" s="78" t="s">
        <v>6</v>
      </c>
      <c r="D23" s="78" t="s">
        <v>6</v>
      </c>
      <c r="E23" s="78" t="s">
        <v>6</v>
      </c>
      <c r="F23" s="78" t="s">
        <v>6</v>
      </c>
      <c r="G23" s="78">
        <v>327.71300000000002</v>
      </c>
      <c r="H23" s="78">
        <v>1419.79</v>
      </c>
      <c r="I23" s="52"/>
      <c r="J23" s="52"/>
      <c r="K23" s="52"/>
      <c r="L23" s="52"/>
      <c r="M23" s="52"/>
      <c r="N23" s="52"/>
      <c r="O23" s="52"/>
      <c r="P23" s="52"/>
      <c r="Q23" s="20"/>
      <c r="R23" s="20"/>
    </row>
    <row r="24" spans="1:18" ht="29.25" customHeight="1" thickTop="1" thickBot="1">
      <c r="A24" s="106" t="s">
        <v>375</v>
      </c>
      <c r="B24" s="78" t="s">
        <v>6</v>
      </c>
      <c r="C24" s="78" t="s">
        <v>6</v>
      </c>
      <c r="D24" s="78" t="s">
        <v>6</v>
      </c>
      <c r="E24" s="78" t="s">
        <v>6</v>
      </c>
      <c r="F24" s="78" t="s">
        <v>6</v>
      </c>
      <c r="G24" s="92">
        <v>494.90600000000001</v>
      </c>
      <c r="H24" s="92">
        <v>488.67</v>
      </c>
      <c r="I24" s="52"/>
      <c r="J24" s="52"/>
      <c r="K24" s="52"/>
      <c r="L24" s="52"/>
      <c r="M24" s="52"/>
      <c r="N24" s="52"/>
      <c r="O24" s="52"/>
      <c r="P24" s="52"/>
      <c r="Q24" s="20"/>
      <c r="R24" s="20"/>
    </row>
    <row r="25" spans="1:18" ht="29.25" customHeight="1" thickTop="1">
      <c r="A25" s="23" t="s">
        <v>66</v>
      </c>
      <c r="B25" s="52"/>
      <c r="C25" s="52"/>
      <c r="G25" s="26" t="s">
        <v>67</v>
      </c>
      <c r="H25" s="52"/>
      <c r="I25" s="52"/>
      <c r="J25" s="52"/>
      <c r="K25" s="52"/>
      <c r="L25" s="52"/>
      <c r="M25" s="52"/>
      <c r="N25" s="52"/>
      <c r="O25" s="52"/>
      <c r="P25" s="52"/>
      <c r="Q25" s="20"/>
      <c r="R25" s="20"/>
    </row>
    <row r="26" spans="1:18" ht="29.25" customHeight="1">
      <c r="A26" s="52"/>
      <c r="B26" s="52"/>
      <c r="C26" s="52"/>
      <c r="D26" s="52"/>
      <c r="E26" s="52"/>
      <c r="F26" s="52"/>
      <c r="G26" s="127"/>
      <c r="H26" s="52"/>
      <c r="I26" s="52"/>
      <c r="J26" s="52"/>
      <c r="K26" s="52"/>
      <c r="L26" s="52"/>
      <c r="M26" s="52"/>
      <c r="N26" s="52"/>
      <c r="O26" s="52"/>
      <c r="P26" s="52"/>
      <c r="Q26" s="20"/>
      <c r="R26" s="20"/>
    </row>
    <row r="27" spans="1:18" ht="29.25" customHeight="1">
      <c r="A27" s="52"/>
      <c r="B27" s="52"/>
      <c r="C27" s="52"/>
      <c r="D27" s="52"/>
      <c r="E27" s="52"/>
      <c r="F27" s="52"/>
      <c r="G27" s="127"/>
      <c r="H27" s="52"/>
      <c r="I27" s="52"/>
      <c r="J27" s="52"/>
      <c r="K27" s="52"/>
      <c r="L27" s="52"/>
      <c r="M27" s="52"/>
      <c r="N27" s="52"/>
      <c r="O27" s="52"/>
      <c r="P27" s="52"/>
      <c r="Q27" s="20"/>
    </row>
    <row r="28" spans="1:18" ht="29.25" customHeight="1">
      <c r="A28" s="52"/>
      <c r="B28" s="52"/>
      <c r="C28" s="52"/>
      <c r="D28" s="52"/>
      <c r="E28" s="52"/>
      <c r="F28" s="52"/>
      <c r="G28" s="127"/>
      <c r="H28" s="52"/>
      <c r="I28" s="52"/>
      <c r="J28" s="52"/>
      <c r="K28" s="52"/>
      <c r="L28" s="52"/>
      <c r="M28" s="52"/>
      <c r="N28" s="52"/>
      <c r="O28" s="52"/>
      <c r="P28" s="52"/>
      <c r="Q28" s="20"/>
    </row>
    <row r="29" spans="1:18" ht="34.5" customHeight="1">
      <c r="A29" s="52"/>
      <c r="B29" s="52"/>
      <c r="C29" s="52"/>
      <c r="D29" s="52"/>
      <c r="E29" s="52"/>
      <c r="F29" s="52"/>
      <c r="G29" s="127"/>
      <c r="H29" s="52"/>
      <c r="I29" s="52"/>
      <c r="J29" s="52"/>
      <c r="K29" s="52"/>
      <c r="L29" s="52"/>
      <c r="M29" s="52"/>
      <c r="N29" s="52"/>
      <c r="O29" s="52"/>
      <c r="P29" s="52"/>
    </row>
    <row r="30" spans="1:18">
      <c r="G30" s="127"/>
    </row>
    <row r="31" spans="1:18">
      <c r="G31" s="127"/>
    </row>
    <row r="32" spans="1:18">
      <c r="B32" s="53"/>
      <c r="C32" s="53"/>
      <c r="D32" s="53"/>
      <c r="E32" s="53"/>
      <c r="G32" s="127"/>
      <c r="H32" s="54"/>
      <c r="J32" s="47"/>
      <c r="K32" s="47"/>
      <c r="L32" s="54"/>
    </row>
    <row r="33" spans="1:11">
      <c r="A33" s="23"/>
      <c r="B33" s="53"/>
      <c r="C33" s="53"/>
      <c r="D33" s="53"/>
      <c r="E33" s="53"/>
      <c r="G33" s="127"/>
      <c r="J33" s="51"/>
      <c r="K33" s="51"/>
    </row>
    <row r="34" spans="1:11">
      <c r="G34" s="127"/>
    </row>
    <row r="35" spans="1:11">
      <c r="G35" s="127"/>
    </row>
    <row r="36" spans="1:11">
      <c r="G36" s="127"/>
    </row>
    <row r="37" spans="1:11">
      <c r="G37" s="127"/>
    </row>
    <row r="38" spans="1:11">
      <c r="G38" s="127"/>
    </row>
    <row r="39" spans="1:11">
      <c r="G39" s="127"/>
    </row>
    <row r="40" spans="1:11">
      <c r="G40" s="127"/>
    </row>
    <row r="41" spans="1:11">
      <c r="G41" s="127"/>
    </row>
    <row r="42" spans="1:11">
      <c r="G42" s="127"/>
    </row>
    <row r="43" spans="1:11">
      <c r="G43" s="127"/>
    </row>
    <row r="44" spans="1:11">
      <c r="G44" s="127"/>
    </row>
  </sheetData>
  <mergeCells count="1">
    <mergeCell ref="C6:G6"/>
  </mergeCells>
  <hyperlinks>
    <hyperlink ref="A5:C5" location="Main!G8" display="العودة للصفحة الرئيسية" xr:uid="{00000000-0004-0000-1900-000000000000}"/>
  </hyperlinks>
  <pageMargins left="0.7" right="0.7" top="0.75" bottom="0.75" header="0.3" footer="0.3"/>
  <pageSetup paperSize="9" orientation="portrait" r:id="rId1"/>
  <headerFooter>
    <oddFooter>&amp;C&amp;"Calibri"&amp;11&amp;K000000&amp;"Calibri"&amp;11&amp;K000000&amp;"Calibri"&amp;11&amp;K000000&amp;10&amp;K663300Classification: &amp;K000000 Internal  داخلي_x000D_&amp;1#&amp;"Calibri"&amp;10&amp;K000000Internal - داخلي</oddFooter>
    <evenFooter>&amp;C&amp;10&amp;K663300Classification: &amp;K000000 Internal  داخلي</evenFooter>
    <firstFooter>&amp;C&amp;10&amp;K663300Classification: &amp;K000000 Internal  داخلي</firstFooter>
  </headerFooter>
  <drawing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4">
    <pageSetUpPr autoPageBreaks="0"/>
  </sheetPr>
  <dimension ref="A1:S40"/>
  <sheetViews>
    <sheetView showGridLines="0" showRowColHeaders="0" rightToLeft="1" topLeftCell="A4" zoomScale="90" zoomScaleNormal="90" workbookViewId="0">
      <selection activeCell="G4" sqref="G4"/>
    </sheetView>
  </sheetViews>
  <sheetFormatPr defaultColWidth="9" defaultRowHeight="15"/>
  <cols>
    <col min="1" max="1" width="25" style="26" bestFit="1" customWidth="1"/>
    <col min="2" max="2" width="23.42578125" style="26" customWidth="1"/>
    <col min="3" max="3" width="20.42578125" style="26" customWidth="1"/>
    <col min="4" max="11" width="17.42578125" style="26" customWidth="1"/>
    <col min="12" max="12" width="13.85546875" style="26" bestFit="1" customWidth="1"/>
    <col min="13" max="13" width="14.85546875" style="26" bestFit="1" customWidth="1"/>
    <col min="14" max="14" width="15.42578125" style="26" customWidth="1"/>
    <col min="15" max="15" width="15" style="26" bestFit="1" customWidth="1"/>
    <col min="16" max="17" width="15.85546875" style="26" customWidth="1"/>
    <col min="18" max="18" width="12.42578125" style="26" bestFit="1" customWidth="1"/>
    <col min="19" max="16384" width="9" style="26"/>
  </cols>
  <sheetData>
    <row r="1" spans="1:17" ht="30.95" customHeight="1">
      <c r="B1" s="28"/>
      <c r="C1" s="28"/>
      <c r="D1" s="28"/>
    </row>
    <row r="2" spans="1:17" ht="30.95" customHeight="1">
      <c r="A2" s="29"/>
      <c r="B2" s="29"/>
      <c r="C2" s="29"/>
      <c r="D2" s="29"/>
      <c r="E2" s="29"/>
      <c r="F2" s="29"/>
      <c r="G2" s="29"/>
      <c r="H2" s="30"/>
    </row>
    <row r="3" spans="1:17" ht="30.95" customHeight="1">
      <c r="A3" s="29"/>
      <c r="B3" s="29"/>
      <c r="C3" s="29"/>
      <c r="D3" s="29"/>
      <c r="E3" s="29"/>
      <c r="F3" s="29"/>
      <c r="G3" s="29"/>
      <c r="H3" s="30"/>
    </row>
    <row r="4" spans="1:17" ht="30.95" customHeight="1">
      <c r="A4" s="29"/>
      <c r="B4" s="29"/>
      <c r="C4" s="29"/>
      <c r="D4" s="29"/>
      <c r="E4" s="29"/>
      <c r="F4" s="29"/>
      <c r="G4" s="29"/>
      <c r="H4" s="30"/>
    </row>
    <row r="5" spans="1:17" ht="30.95" customHeight="1">
      <c r="C5" s="191" t="s">
        <v>681</v>
      </c>
      <c r="D5" s="191"/>
      <c r="E5" s="191"/>
      <c r="F5" s="191"/>
      <c r="G5" s="191"/>
      <c r="H5" s="70"/>
    </row>
    <row r="6" spans="1:17" ht="30.95" customHeight="1" thickBot="1">
      <c r="F6" s="71"/>
      <c r="H6" s="49"/>
      <c r="I6" s="49"/>
      <c r="J6" s="49"/>
      <c r="O6" s="49"/>
      <c r="Q6" s="49"/>
    </row>
    <row r="7" spans="1:17" ht="30.95" customHeight="1" thickBot="1">
      <c r="G7" s="71" t="s">
        <v>46</v>
      </c>
      <c r="H7" s="50"/>
      <c r="I7" s="50"/>
      <c r="J7" s="50"/>
      <c r="K7" s="50"/>
    </row>
    <row r="8" spans="1:17" ht="45.75" thickBot="1">
      <c r="A8" s="107" t="s">
        <v>123</v>
      </c>
      <c r="B8" s="104" t="s">
        <v>95</v>
      </c>
      <c r="C8" s="104" t="s">
        <v>476</v>
      </c>
      <c r="D8" s="104" t="s">
        <v>101</v>
      </c>
      <c r="E8" s="104" t="s">
        <v>477</v>
      </c>
      <c r="F8" s="104" t="s">
        <v>464</v>
      </c>
      <c r="G8" s="104" t="s">
        <v>594</v>
      </c>
      <c r="H8" s="104" t="s">
        <v>617</v>
      </c>
      <c r="I8" s="50"/>
    </row>
    <row r="9" spans="1:17" ht="31.5" thickTop="1" thickBot="1">
      <c r="A9" s="106" t="s">
        <v>383</v>
      </c>
      <c r="B9" s="78">
        <v>8.2760818</v>
      </c>
      <c r="C9" s="78">
        <v>177.28645500000002</v>
      </c>
      <c r="D9" s="78">
        <v>933.56415000000004</v>
      </c>
      <c r="E9" s="145">
        <v>1013.3228</v>
      </c>
      <c r="F9" s="145">
        <v>1212.7701000000002</v>
      </c>
      <c r="G9" s="145">
        <v>1312.05818</v>
      </c>
      <c r="H9" s="145">
        <v>1500.66</v>
      </c>
      <c r="I9" s="50"/>
      <c r="Q9" s="40"/>
    </row>
    <row r="10" spans="1:17" ht="46.5" thickTop="1" thickBot="1">
      <c r="A10" s="106" t="s">
        <v>466</v>
      </c>
      <c r="B10" s="78">
        <v>63.141239999999996</v>
      </c>
      <c r="C10" s="78">
        <v>57.582785999999999</v>
      </c>
      <c r="D10" s="78">
        <v>50.417679999999997</v>
      </c>
      <c r="E10" s="78">
        <v>67.135400000000004</v>
      </c>
      <c r="F10" s="78">
        <v>247.69174699999999</v>
      </c>
      <c r="G10" s="78">
        <v>586.47246300000006</v>
      </c>
      <c r="H10" s="78">
        <v>653.48</v>
      </c>
      <c r="I10" s="50"/>
      <c r="Q10" s="40"/>
    </row>
    <row r="11" spans="1:17" ht="31.5" thickTop="1" thickBot="1">
      <c r="A11" s="106" t="s">
        <v>384</v>
      </c>
      <c r="B11" s="78" t="s">
        <v>6</v>
      </c>
      <c r="C11" s="78">
        <v>7.7195090000000004</v>
      </c>
      <c r="D11" s="78">
        <v>379.675703</v>
      </c>
      <c r="E11" s="78">
        <v>542.50334300000009</v>
      </c>
      <c r="F11" s="78">
        <v>935.63755199999991</v>
      </c>
      <c r="G11" s="78">
        <v>670.40695100000005</v>
      </c>
      <c r="H11" s="78">
        <v>770.75</v>
      </c>
      <c r="I11" s="50"/>
      <c r="Q11" s="40"/>
    </row>
    <row r="12" spans="1:17" ht="31.5" thickTop="1" thickBot="1">
      <c r="A12" s="106" t="s">
        <v>467</v>
      </c>
      <c r="B12" s="78">
        <v>275.679508</v>
      </c>
      <c r="C12" s="78">
        <v>295.47934100000003</v>
      </c>
      <c r="D12" s="78">
        <v>494.89646800000003</v>
      </c>
      <c r="E12" s="78">
        <v>469.550836</v>
      </c>
      <c r="F12" s="78">
        <v>964.18479400000001</v>
      </c>
      <c r="G12" s="78">
        <v>1080.0773300000001</v>
      </c>
      <c r="H12" s="78">
        <v>1127.9000000000001</v>
      </c>
      <c r="I12" s="50"/>
      <c r="Q12" s="40"/>
    </row>
    <row r="13" spans="1:17" ht="16.5" thickTop="1" thickBot="1">
      <c r="A13" s="106" t="s">
        <v>385</v>
      </c>
      <c r="B13" s="78" t="s">
        <v>6</v>
      </c>
      <c r="C13" s="78">
        <v>12.299054</v>
      </c>
      <c r="D13" s="78">
        <v>10.759054000000001</v>
      </c>
      <c r="E13" s="78">
        <v>8.7090999999999994</v>
      </c>
      <c r="F13" s="78">
        <v>8.7090999999999994</v>
      </c>
      <c r="G13" s="78">
        <v>8.6999999999999993</v>
      </c>
      <c r="H13" s="78">
        <v>6.14</v>
      </c>
      <c r="I13" s="50"/>
      <c r="Q13" s="40"/>
    </row>
    <row r="14" spans="1:17" ht="16.5" thickTop="1" thickBot="1">
      <c r="A14" s="106" t="s">
        <v>386</v>
      </c>
      <c r="B14" s="78">
        <v>155.31617399999999</v>
      </c>
      <c r="C14" s="78">
        <v>1097.8909409999999</v>
      </c>
      <c r="D14" s="78">
        <v>984.84850700000004</v>
      </c>
      <c r="E14" s="78">
        <v>1019.932596</v>
      </c>
      <c r="F14" s="78">
        <v>1021.6119789999999</v>
      </c>
      <c r="G14" s="78">
        <v>1294.3298750000001</v>
      </c>
      <c r="H14" s="78">
        <v>1436.31</v>
      </c>
      <c r="I14" s="50"/>
      <c r="Q14" s="40"/>
    </row>
    <row r="15" spans="1:17" ht="31.5" thickTop="1" thickBot="1">
      <c r="A15" s="106" t="s">
        <v>468</v>
      </c>
      <c r="B15" s="78">
        <v>1.8598730000000001</v>
      </c>
      <c r="C15" s="78">
        <v>1.8131169999999999</v>
      </c>
      <c r="D15" s="78">
        <v>75.438924</v>
      </c>
      <c r="E15" s="78">
        <v>75.131089000000003</v>
      </c>
      <c r="F15" s="78">
        <v>185.87716800000001</v>
      </c>
      <c r="G15" s="78">
        <v>195.99426600000001</v>
      </c>
      <c r="H15" s="78">
        <v>204.45</v>
      </c>
      <c r="I15" s="50"/>
      <c r="Q15" s="40"/>
    </row>
    <row r="16" spans="1:17" ht="46.5" thickTop="1" thickBot="1">
      <c r="A16" s="106" t="s">
        <v>463</v>
      </c>
      <c r="B16" s="78" t="s">
        <v>6</v>
      </c>
      <c r="C16" s="78">
        <v>1.3429149999999999</v>
      </c>
      <c r="D16" s="78">
        <v>166.865703</v>
      </c>
      <c r="E16" s="78">
        <v>334.44756700000005</v>
      </c>
      <c r="F16" s="78">
        <v>193.19410000000002</v>
      </c>
      <c r="G16" s="78">
        <v>246.36052100000001</v>
      </c>
      <c r="H16" s="78">
        <v>174.52</v>
      </c>
      <c r="I16" s="50"/>
      <c r="Q16" s="40"/>
    </row>
    <row r="17" spans="1:19" ht="46.5" thickTop="1" thickBot="1">
      <c r="A17" s="106" t="s">
        <v>387</v>
      </c>
      <c r="B17" s="78" t="s">
        <v>6</v>
      </c>
      <c r="C17" s="78" t="s">
        <v>6</v>
      </c>
      <c r="D17" s="78">
        <v>4.5251789999999996</v>
      </c>
      <c r="E17" s="78">
        <v>3.2837999999999998</v>
      </c>
      <c r="F17" s="78" t="s">
        <v>6</v>
      </c>
      <c r="G17" s="78" t="s">
        <v>6</v>
      </c>
      <c r="H17" s="78" t="s">
        <v>6</v>
      </c>
      <c r="I17" s="50"/>
      <c r="Q17" s="40"/>
    </row>
    <row r="18" spans="1:19" ht="46.5" thickTop="1" thickBot="1">
      <c r="A18" s="106" t="s">
        <v>388</v>
      </c>
      <c r="B18" s="78" t="s">
        <v>6</v>
      </c>
      <c r="C18" s="78" t="s">
        <v>6</v>
      </c>
      <c r="D18" s="78">
        <v>15.030091000000001</v>
      </c>
      <c r="E18" s="78">
        <v>54.451599999999999</v>
      </c>
      <c r="F18" s="78">
        <v>75.479998999999992</v>
      </c>
      <c r="G18" s="78">
        <v>97.202017000000012</v>
      </c>
      <c r="H18" s="78">
        <v>293.19</v>
      </c>
      <c r="Q18" s="40"/>
    </row>
    <row r="19" spans="1:19" ht="31.5" thickTop="1" thickBot="1">
      <c r="A19" s="106" t="s">
        <v>389</v>
      </c>
      <c r="B19" s="78" t="s">
        <v>6</v>
      </c>
      <c r="C19" s="78" t="s">
        <v>6</v>
      </c>
      <c r="D19" s="78">
        <v>21.075061999999999</v>
      </c>
      <c r="E19" s="92">
        <v>52.272201000000003</v>
      </c>
      <c r="F19" s="92">
        <v>76.443228999999988</v>
      </c>
      <c r="G19" s="78">
        <v>83.395533000000015</v>
      </c>
      <c r="H19" s="78">
        <v>119.17</v>
      </c>
      <c r="Q19" s="40"/>
    </row>
    <row r="20" spans="1:19" ht="46.5" thickTop="1" thickBot="1">
      <c r="A20" s="106" t="s">
        <v>465</v>
      </c>
      <c r="B20" s="78" t="s">
        <v>6</v>
      </c>
      <c r="C20" s="78" t="s">
        <v>6</v>
      </c>
      <c r="D20" s="78" t="s">
        <v>6</v>
      </c>
      <c r="E20" s="78" t="s">
        <v>6</v>
      </c>
      <c r="F20" s="92">
        <v>17.2972</v>
      </c>
      <c r="G20" s="78">
        <v>40.062309999999997</v>
      </c>
      <c r="H20" s="78">
        <v>47.17</v>
      </c>
      <c r="I20" s="50"/>
      <c r="J20" s="50"/>
      <c r="K20" s="50"/>
      <c r="S20" s="40"/>
    </row>
    <row r="21" spans="1:19" ht="61.5" thickTop="1" thickBot="1">
      <c r="A21" s="106" t="s">
        <v>461</v>
      </c>
      <c r="B21" s="78" t="s">
        <v>6</v>
      </c>
      <c r="C21" s="78" t="s">
        <v>6</v>
      </c>
      <c r="D21" s="78" t="s">
        <v>6</v>
      </c>
      <c r="E21" s="78" t="s">
        <v>6</v>
      </c>
      <c r="F21" s="92">
        <v>1507.4674</v>
      </c>
      <c r="G21" s="78">
        <v>1565.5182</v>
      </c>
      <c r="H21" s="78">
        <v>1461.45</v>
      </c>
      <c r="I21" s="50"/>
      <c r="J21" s="50"/>
      <c r="K21" s="50"/>
      <c r="S21" s="40"/>
    </row>
    <row r="22" spans="1:19" ht="46.5" thickTop="1" thickBot="1">
      <c r="A22" s="106" t="s">
        <v>460</v>
      </c>
      <c r="B22" s="78" t="s">
        <v>6</v>
      </c>
      <c r="C22" s="78" t="s">
        <v>6</v>
      </c>
      <c r="D22" s="78" t="s">
        <v>6</v>
      </c>
      <c r="E22" s="78" t="s">
        <v>6</v>
      </c>
      <c r="F22" s="78" t="s">
        <v>6</v>
      </c>
      <c r="G22" s="78">
        <v>478.741602</v>
      </c>
      <c r="H22" s="78">
        <v>792.68</v>
      </c>
      <c r="I22" s="50"/>
      <c r="J22" s="50"/>
      <c r="K22" s="50"/>
      <c r="S22" s="40"/>
    </row>
    <row r="23" spans="1:19" ht="31.5" thickTop="1" thickBot="1">
      <c r="A23" s="106" t="s">
        <v>375</v>
      </c>
      <c r="B23" s="78" t="s">
        <v>6</v>
      </c>
      <c r="C23" s="78" t="s">
        <v>6</v>
      </c>
      <c r="D23" s="78" t="s">
        <v>6</v>
      </c>
      <c r="E23" s="78" t="s">
        <v>6</v>
      </c>
      <c r="F23" s="78" t="s">
        <v>6</v>
      </c>
      <c r="G23" s="92">
        <v>229.21154999999999</v>
      </c>
      <c r="H23" s="92">
        <v>205.67</v>
      </c>
      <c r="I23" s="50"/>
      <c r="J23" s="50"/>
      <c r="K23" s="50"/>
      <c r="S23" s="40"/>
    </row>
    <row r="24" spans="1:19" ht="15.75" thickTop="1">
      <c r="H24" s="50"/>
      <c r="I24" s="50"/>
      <c r="J24" s="50"/>
      <c r="K24" s="50"/>
      <c r="S24" s="40"/>
    </row>
    <row r="25" spans="1:19">
      <c r="H25" s="50"/>
      <c r="I25" s="50"/>
      <c r="J25" s="50"/>
      <c r="K25" s="50"/>
      <c r="S25" s="40"/>
    </row>
    <row r="26" spans="1:19">
      <c r="A26" s="125" t="s">
        <v>70</v>
      </c>
      <c r="C26" s="125"/>
      <c r="F26" s="51" t="s">
        <v>79</v>
      </c>
      <c r="H26" s="50"/>
      <c r="I26" s="50"/>
      <c r="J26" s="50"/>
      <c r="K26" s="50"/>
      <c r="S26" s="40"/>
    </row>
    <row r="27" spans="1:19">
      <c r="H27" s="50"/>
      <c r="I27" s="50"/>
      <c r="J27" s="50"/>
      <c r="K27" s="50"/>
    </row>
    <row r="28" spans="1:19">
      <c r="H28" s="50"/>
      <c r="I28" s="50"/>
      <c r="J28" s="50"/>
      <c r="K28" s="50"/>
    </row>
    <row r="29" spans="1:19">
      <c r="H29" s="50"/>
      <c r="I29" s="50"/>
      <c r="J29" s="50"/>
      <c r="K29" s="50"/>
    </row>
    <row r="30" spans="1:19">
      <c r="I30" s="50"/>
    </row>
    <row r="31" spans="1:19">
      <c r="I31" s="50"/>
    </row>
    <row r="32" spans="1:19">
      <c r="I32" s="50"/>
    </row>
    <row r="33" spans="4:13">
      <c r="F33" s="40"/>
      <c r="G33" s="40"/>
      <c r="I33" s="50"/>
    </row>
    <row r="34" spans="4:13">
      <c r="F34" s="40"/>
      <c r="G34" s="40"/>
      <c r="H34" s="40"/>
      <c r="I34" s="50"/>
      <c r="J34" s="40"/>
      <c r="K34" s="40"/>
      <c r="L34" s="40"/>
      <c r="M34" s="40"/>
    </row>
    <row r="35" spans="4:13">
      <c r="F35" s="40"/>
      <c r="G35" s="40"/>
      <c r="H35" s="40"/>
      <c r="I35" s="50"/>
      <c r="J35" s="40"/>
      <c r="K35" s="40"/>
      <c r="L35" s="40"/>
      <c r="M35" s="40"/>
    </row>
    <row r="36" spans="4:13">
      <c r="F36" s="40"/>
      <c r="G36" s="40"/>
      <c r="H36" s="40"/>
      <c r="I36" s="50"/>
      <c r="J36" s="40"/>
      <c r="K36" s="40"/>
      <c r="L36" s="40"/>
      <c r="M36" s="40"/>
    </row>
    <row r="37" spans="4:13">
      <c r="F37" s="40"/>
      <c r="G37" s="40"/>
      <c r="H37" s="40"/>
      <c r="I37" s="50"/>
      <c r="J37" s="40"/>
      <c r="K37" s="40"/>
      <c r="L37" s="40"/>
      <c r="M37" s="40"/>
    </row>
    <row r="38" spans="4:13" ht="22.5">
      <c r="I38" s="50" t="str">
        <f t="shared" ref="I38:I39" si="0">A23&amp;" "&amp;B23&amp;" "&amp;C23</f>
        <v xml:space="preserve"> 
  النقل Transportation  - -</v>
      </c>
    </row>
    <row r="39" spans="4:13">
      <c r="F39" s="40"/>
      <c r="G39" s="40"/>
      <c r="H39" s="40"/>
      <c r="I39" s="50" t="str">
        <f t="shared" si="0"/>
        <v xml:space="preserve">  </v>
      </c>
      <c r="J39" s="40"/>
      <c r="K39" s="40"/>
      <c r="L39" s="40"/>
      <c r="M39" s="40"/>
    </row>
    <row r="40" spans="4:13">
      <c r="D40" s="40"/>
      <c r="E40" s="40"/>
      <c r="F40" s="40"/>
      <c r="G40" s="40"/>
      <c r="H40" s="40"/>
      <c r="I40" s="40"/>
      <c r="J40" s="40"/>
      <c r="K40" s="40"/>
    </row>
  </sheetData>
  <mergeCells count="1">
    <mergeCell ref="C5:G5"/>
  </mergeCells>
  <conditionalFormatting sqref="F9:F16 F18:F21">
    <cfRule type="duplicateValues" dxfId="0" priority="1"/>
  </conditionalFormatting>
  <pageMargins left="0.7" right="0.7" top="0.75" bottom="0.75" header="0.3" footer="0.3"/>
  <pageSetup paperSize="9" orientation="portrait" r:id="rId1"/>
  <headerFooter>
    <oddFooter>&amp;C&amp;"Calibri"&amp;11&amp;K000000&amp;"Calibri"&amp;11&amp;K000000&amp;"Calibri"&amp;11&amp;K000000&amp;10&amp;K663300Classification: &amp;K000000 Internal  داخلي_x000D_&amp;1#&amp;"Calibri"&amp;10&amp;K000000Internal - داخلي</oddFooter>
    <evenFooter>&amp;C&amp;10&amp;K663300Classification: &amp;K000000 Internal  داخلي</evenFooter>
    <firstFooter>&amp;C&amp;10&amp;K663300Classification: &amp;K000000 Internal  داخلي</firstFooter>
  </headerFooter>
  <drawing r:id="rId2"/>
  <tableParts count="1"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15">
    <pageSetUpPr autoPageBreaks="0"/>
  </sheetPr>
  <dimension ref="A1:G55"/>
  <sheetViews>
    <sheetView showGridLines="0" rightToLeft="1" topLeftCell="A4" zoomScale="98" zoomScaleNormal="98" workbookViewId="0">
      <selection activeCell="B5" sqref="B5:E5"/>
    </sheetView>
  </sheetViews>
  <sheetFormatPr defaultColWidth="9.140625" defaultRowHeight="15"/>
  <cols>
    <col min="1" max="1" width="19.42578125" style="26" customWidth="1"/>
    <col min="2" max="2" width="23.42578125" style="26" customWidth="1"/>
    <col min="3" max="3" width="20.42578125" style="26" customWidth="1"/>
    <col min="4" max="4" width="23" style="26" customWidth="1"/>
    <col min="5" max="5" width="22" style="26" bestFit="1" customWidth="1"/>
    <col min="6" max="16384" width="9.140625" style="26"/>
  </cols>
  <sheetData>
    <row r="1" spans="1:7" ht="15" customHeight="1">
      <c r="B1" s="28"/>
      <c r="C1" s="28"/>
      <c r="D1" s="28"/>
    </row>
    <row r="2" spans="1:7" ht="15" customHeight="1">
      <c r="A2" s="29"/>
      <c r="B2" s="29"/>
      <c r="C2" s="29"/>
      <c r="D2" s="29"/>
      <c r="E2" s="29"/>
      <c r="F2" s="29"/>
      <c r="G2" s="30"/>
    </row>
    <row r="3" spans="1:7" ht="15" customHeight="1">
      <c r="A3" s="29"/>
      <c r="B3" s="29"/>
      <c r="C3" s="29"/>
      <c r="D3" s="29"/>
      <c r="E3" s="29"/>
      <c r="F3" s="29"/>
      <c r="G3" s="30"/>
    </row>
    <row r="4" spans="1:7" ht="31.5" customHeight="1">
      <c r="A4" s="29"/>
      <c r="B4" s="29"/>
      <c r="C4" s="29"/>
      <c r="D4" s="29"/>
      <c r="E4" s="29"/>
      <c r="F4" s="29"/>
      <c r="G4" s="30"/>
    </row>
    <row r="5" spans="1:7" ht="55.5" customHeight="1">
      <c r="B5" s="191" t="s">
        <v>682</v>
      </c>
      <c r="C5" s="191"/>
      <c r="D5" s="191"/>
      <c r="E5" s="191"/>
    </row>
    <row r="7" spans="1:7" ht="72" customHeight="1" thickBot="1">
      <c r="A7" s="104" t="s">
        <v>14</v>
      </c>
      <c r="B7" s="104" t="s">
        <v>9</v>
      </c>
      <c r="C7" s="104" t="s">
        <v>10</v>
      </c>
      <c r="D7" s="104" t="s">
        <v>11</v>
      </c>
      <c r="E7" s="104" t="s">
        <v>12</v>
      </c>
    </row>
    <row r="8" spans="1:7" ht="27" thickTop="1" thickBot="1">
      <c r="A8" s="69" t="s">
        <v>30</v>
      </c>
      <c r="B8" s="81">
        <v>3448572</v>
      </c>
      <c r="C8" s="81">
        <v>850568</v>
      </c>
      <c r="D8" s="81">
        <v>4299140</v>
      </c>
      <c r="E8" s="81">
        <v>7905328</v>
      </c>
    </row>
    <row r="9" spans="1:7" ht="27" thickTop="1" thickBot="1">
      <c r="A9" s="69" t="s">
        <v>571</v>
      </c>
      <c r="B9" s="81">
        <v>3466943</v>
      </c>
      <c r="C9" s="81">
        <v>865052</v>
      </c>
      <c r="D9" s="81">
        <v>4331995</v>
      </c>
      <c r="E9" s="81">
        <v>7750803</v>
      </c>
    </row>
    <row r="10" spans="1:7" ht="27" thickTop="1" thickBot="1">
      <c r="A10" s="69" t="s">
        <v>31</v>
      </c>
      <c r="B10" s="81">
        <v>3507611</v>
      </c>
      <c r="C10" s="81">
        <v>892884</v>
      </c>
      <c r="D10" s="81">
        <v>4400495</v>
      </c>
      <c r="E10" s="81">
        <v>8139037</v>
      </c>
    </row>
    <row r="11" spans="1:7" ht="27" thickTop="1" thickBot="1">
      <c r="A11" s="69" t="s">
        <v>572</v>
      </c>
      <c r="B11" s="81">
        <v>3543784</v>
      </c>
      <c r="C11" s="81">
        <v>918280</v>
      </c>
      <c r="D11" s="81">
        <v>4462064</v>
      </c>
      <c r="E11" s="81">
        <v>8032697</v>
      </c>
    </row>
    <row r="12" spans="1:7" ht="27" thickTop="1" thickBot="1">
      <c r="A12" s="69" t="s">
        <v>41</v>
      </c>
      <c r="B12" s="81">
        <v>3581159</v>
      </c>
      <c r="C12" s="81">
        <v>942423</v>
      </c>
      <c r="D12" s="81">
        <v>4523582</v>
      </c>
      <c r="E12" s="81">
        <v>9095508</v>
      </c>
    </row>
    <row r="13" spans="1:7" ht="27" thickTop="1" thickBot="1">
      <c r="A13" s="69" t="s">
        <v>32</v>
      </c>
      <c r="B13" s="81">
        <v>4057270</v>
      </c>
      <c r="C13" s="81">
        <v>1081301</v>
      </c>
      <c r="D13" s="81">
        <v>5138571</v>
      </c>
      <c r="E13" s="81">
        <v>9135818</v>
      </c>
    </row>
    <row r="14" spans="1:7" ht="27" thickTop="1" thickBot="1">
      <c r="A14" s="69" t="s">
        <v>573</v>
      </c>
      <c r="B14" s="81">
        <v>3597034</v>
      </c>
      <c r="C14" s="81">
        <v>950179</v>
      </c>
      <c r="D14" s="81">
        <v>4547213</v>
      </c>
      <c r="E14" s="81">
        <v>8665901</v>
      </c>
    </row>
    <row r="15" spans="1:7" ht="27" thickTop="1" thickBot="1">
      <c r="A15" s="69" t="s">
        <v>33</v>
      </c>
      <c r="B15" s="81">
        <v>3610214</v>
      </c>
      <c r="C15" s="81">
        <v>957351</v>
      </c>
      <c r="D15" s="81">
        <v>4567565</v>
      </c>
      <c r="E15" s="81">
        <v>8793291</v>
      </c>
    </row>
    <row r="16" spans="1:7" ht="27" thickTop="1" thickBot="1">
      <c r="A16" s="69" t="s">
        <v>34</v>
      </c>
      <c r="B16" s="81">
        <v>3622998</v>
      </c>
      <c r="C16" s="81">
        <v>964501</v>
      </c>
      <c r="D16" s="81">
        <v>4587499</v>
      </c>
      <c r="E16" s="81">
        <v>8972042</v>
      </c>
    </row>
    <row r="17" spans="1:5" ht="27" thickTop="1" thickBot="1">
      <c r="A17" s="69" t="s">
        <v>35</v>
      </c>
      <c r="B17" s="81">
        <v>3631596</v>
      </c>
      <c r="C17" s="81">
        <v>968964</v>
      </c>
      <c r="D17" s="81">
        <v>4600560</v>
      </c>
      <c r="E17" s="81">
        <v>9101797</v>
      </c>
    </row>
    <row r="18" spans="1:5" ht="27" thickTop="1" thickBot="1">
      <c r="A18" s="69" t="s">
        <v>574</v>
      </c>
      <c r="B18" s="81">
        <v>3640172</v>
      </c>
      <c r="C18" s="81">
        <v>971945</v>
      </c>
      <c r="D18" s="81">
        <v>4612117</v>
      </c>
      <c r="E18" s="81">
        <v>9206167</v>
      </c>
    </row>
    <row r="19" spans="1:5" ht="27" thickTop="1" thickBot="1">
      <c r="A19" s="69" t="s">
        <v>42</v>
      </c>
      <c r="B19" s="81">
        <v>3650214</v>
      </c>
      <c r="C19" s="81">
        <v>975798</v>
      </c>
      <c r="D19" s="81">
        <v>4626012</v>
      </c>
      <c r="E19" s="81">
        <v>9332378</v>
      </c>
    </row>
    <row r="20" spans="1:5" ht="27" thickTop="1" thickBot="1">
      <c r="A20" s="69" t="s">
        <v>36</v>
      </c>
      <c r="B20" s="81">
        <v>3659259</v>
      </c>
      <c r="C20" s="81">
        <v>980114</v>
      </c>
      <c r="D20" s="81">
        <v>4639373</v>
      </c>
      <c r="E20" s="81">
        <v>9218599</v>
      </c>
    </row>
    <row r="21" spans="1:5" ht="27" thickTop="1" thickBot="1">
      <c r="A21" s="69" t="s">
        <v>37</v>
      </c>
      <c r="B21" s="81">
        <v>3669284</v>
      </c>
      <c r="C21" s="81">
        <v>985495</v>
      </c>
      <c r="D21" s="81">
        <v>4654779</v>
      </c>
      <c r="E21" s="81">
        <v>9328156</v>
      </c>
    </row>
    <row r="22" spans="1:5" ht="27" thickTop="1" thickBot="1">
      <c r="A22" s="69" t="s">
        <v>575</v>
      </c>
      <c r="B22" s="81">
        <v>3680236</v>
      </c>
      <c r="C22" s="81">
        <v>989708</v>
      </c>
      <c r="D22" s="81">
        <f>B22+C22</f>
        <v>4669944</v>
      </c>
      <c r="E22" s="81">
        <v>9369057</v>
      </c>
    </row>
    <row r="23" spans="1:5" ht="27" thickTop="1" thickBot="1">
      <c r="A23" s="69" t="s">
        <v>43</v>
      </c>
      <c r="B23" s="81">
        <v>3693421</v>
      </c>
      <c r="C23" s="81">
        <v>995272</v>
      </c>
      <c r="D23" s="81">
        <f>B23+C23</f>
        <v>4688693</v>
      </c>
      <c r="E23" s="81">
        <v>9505529</v>
      </c>
    </row>
    <row r="24" spans="1:5" ht="27" thickTop="1" thickBot="1">
      <c r="A24" s="69" t="s">
        <v>44</v>
      </c>
      <c r="B24" s="81">
        <v>3680756</v>
      </c>
      <c r="C24" s="81">
        <v>989922</v>
      </c>
      <c r="D24" s="81">
        <f>B24+C24</f>
        <v>4670678</v>
      </c>
      <c r="E24" s="81">
        <v>9625413</v>
      </c>
    </row>
    <row r="25" spans="1:5" ht="27" thickTop="1" thickBot="1">
      <c r="A25" s="69" t="s">
        <v>45</v>
      </c>
      <c r="B25" s="81">
        <v>3715376</v>
      </c>
      <c r="C25" s="81">
        <v>1003352</v>
      </c>
      <c r="D25" s="81">
        <v>4718728</v>
      </c>
      <c r="E25" s="81">
        <v>9751510</v>
      </c>
    </row>
    <row r="26" spans="1:5" ht="27" thickTop="1" thickBot="1">
      <c r="A26" s="69" t="s">
        <v>576</v>
      </c>
      <c r="B26" s="81">
        <v>3727620</v>
      </c>
      <c r="C26" s="81">
        <v>1008054</v>
      </c>
      <c r="D26" s="81">
        <v>4735674</v>
      </c>
      <c r="E26" s="81">
        <v>9832164</v>
      </c>
    </row>
    <row r="27" spans="1:5" ht="27" thickTop="1" thickBot="1">
      <c r="A27" s="69" t="s">
        <v>39</v>
      </c>
      <c r="B27" s="81">
        <v>3737075</v>
      </c>
      <c r="C27" s="81">
        <v>1011911</v>
      </c>
      <c r="D27" s="81">
        <v>4748986</v>
      </c>
      <c r="E27" s="81">
        <v>9872523</v>
      </c>
    </row>
    <row r="28" spans="1:5" ht="27" thickTop="1" thickBot="1">
      <c r="A28" s="69" t="s">
        <v>40</v>
      </c>
      <c r="B28" s="81">
        <v>3719125</v>
      </c>
      <c r="C28" s="81">
        <v>1003506</v>
      </c>
      <c r="D28" s="81">
        <v>4722631</v>
      </c>
      <c r="E28" s="81">
        <v>9110472</v>
      </c>
    </row>
    <row r="29" spans="1:5" ht="27" thickTop="1" thickBot="1">
      <c r="A29" s="69" t="s">
        <v>48</v>
      </c>
      <c r="B29" s="81">
        <v>3750482</v>
      </c>
      <c r="C29" s="81">
        <v>1016554</v>
      </c>
      <c r="D29" s="81">
        <v>4767036</v>
      </c>
      <c r="E29" s="81">
        <v>8806322</v>
      </c>
    </row>
    <row r="30" spans="1:5" ht="27" thickTop="1" thickBot="1">
      <c r="A30" s="69" t="s">
        <v>577</v>
      </c>
      <c r="B30" s="81">
        <v>4124651</v>
      </c>
      <c r="C30" s="81">
        <v>1352546</v>
      </c>
      <c r="D30" s="81">
        <v>5477197</v>
      </c>
      <c r="E30" s="81">
        <v>9864757</v>
      </c>
    </row>
    <row r="31" spans="1:5" ht="27" thickTop="1" thickBot="1">
      <c r="A31" s="69" t="s">
        <v>50</v>
      </c>
      <c r="B31" s="81">
        <v>4140143</v>
      </c>
      <c r="C31" s="81">
        <v>1359778</v>
      </c>
      <c r="D31" s="81">
        <v>5499921</v>
      </c>
      <c r="E31" s="81">
        <v>9955764</v>
      </c>
    </row>
    <row r="32" spans="1:5" ht="27" thickTop="1" thickBot="1">
      <c r="A32" s="69" t="s">
        <v>54</v>
      </c>
      <c r="B32" s="81">
        <v>4153334</v>
      </c>
      <c r="C32" s="81">
        <v>1365122</v>
      </c>
      <c r="D32" s="81">
        <v>5518456</v>
      </c>
      <c r="E32" s="81">
        <v>9087997</v>
      </c>
    </row>
    <row r="33" spans="1:5" ht="27" thickTop="1" thickBot="1">
      <c r="A33" s="69" t="s">
        <v>55</v>
      </c>
      <c r="B33" s="81">
        <v>4170334</v>
      </c>
      <c r="C33" s="81">
        <v>1375587</v>
      </c>
      <c r="D33" s="81">
        <v>5545921</v>
      </c>
      <c r="E33" s="81">
        <v>9196367</v>
      </c>
    </row>
    <row r="34" spans="1:5" ht="27" thickTop="1" thickBot="1">
      <c r="A34" s="69" t="s">
        <v>578</v>
      </c>
      <c r="B34" s="81">
        <v>4197288</v>
      </c>
      <c r="C34" s="81">
        <v>1389412</v>
      </c>
      <c r="D34" s="81">
        <v>5586700</v>
      </c>
      <c r="E34" s="81">
        <v>9032507</v>
      </c>
    </row>
    <row r="35" spans="1:5" ht="27" thickTop="1" thickBot="1">
      <c r="A35" s="69" t="s">
        <v>56</v>
      </c>
      <c r="B35" s="81">
        <v>4225686</v>
      </c>
      <c r="C35" s="81">
        <v>1404351</v>
      </c>
      <c r="D35" s="81">
        <f>C35+B35</f>
        <v>5630037</v>
      </c>
      <c r="E35" s="81">
        <v>9203768</v>
      </c>
    </row>
    <row r="36" spans="1:5" ht="27" thickTop="1" thickBot="1">
      <c r="A36" s="69" t="s">
        <v>57</v>
      </c>
      <c r="B36" s="81">
        <v>4244991</v>
      </c>
      <c r="C36" s="81">
        <v>1416651</v>
      </c>
      <c r="D36" s="81">
        <v>5661642</v>
      </c>
      <c r="E36" s="81">
        <v>9296287</v>
      </c>
    </row>
    <row r="37" spans="1:5" ht="27" thickTop="1" thickBot="1">
      <c r="A37" s="69" t="s">
        <v>63</v>
      </c>
      <c r="B37" s="81">
        <v>4287328</v>
      </c>
      <c r="C37" s="81">
        <v>1459269</v>
      </c>
      <c r="D37" s="81">
        <v>5746597</v>
      </c>
      <c r="E37" s="81">
        <v>10015196</v>
      </c>
    </row>
    <row r="38" spans="1:5" ht="27" thickTop="1" thickBot="1">
      <c r="A38" s="69" t="s">
        <v>480</v>
      </c>
      <c r="B38" s="81">
        <v>4345219</v>
      </c>
      <c r="C38" s="81">
        <v>1516995</v>
      </c>
      <c r="D38" s="81">
        <v>5862214</v>
      </c>
      <c r="E38" s="81">
        <v>10325419</v>
      </c>
    </row>
    <row r="39" spans="1:5" ht="27" thickTop="1" thickBot="1">
      <c r="A39" s="69" t="s">
        <v>64</v>
      </c>
      <c r="B39" s="81">
        <v>4410226</v>
      </c>
      <c r="C39" s="81">
        <v>1573118</v>
      </c>
      <c r="D39" s="81">
        <v>5983344</v>
      </c>
      <c r="E39" s="81">
        <v>10114663</v>
      </c>
    </row>
    <row r="40" spans="1:5" ht="27" thickTop="1" thickBot="1">
      <c r="A40" s="69" t="s">
        <v>71</v>
      </c>
      <c r="B40" s="81">
        <v>4182662</v>
      </c>
      <c r="C40" s="81">
        <v>1487775</v>
      </c>
      <c r="D40" s="81">
        <v>5670437</v>
      </c>
      <c r="E40" s="81">
        <v>10762613</v>
      </c>
    </row>
    <row r="41" spans="1:5" ht="27" thickTop="1" thickBot="1">
      <c r="A41" s="116" t="s">
        <v>102</v>
      </c>
      <c r="B41" s="113">
        <v>4217427</v>
      </c>
      <c r="C41" s="113">
        <v>1496836</v>
      </c>
      <c r="D41" s="113">
        <v>5714263</v>
      </c>
      <c r="E41" s="113">
        <v>10846277</v>
      </c>
    </row>
    <row r="42" spans="1:5" ht="27" thickTop="1" thickBot="1">
      <c r="A42" s="116" t="s">
        <v>481</v>
      </c>
      <c r="B42" s="81">
        <v>4281173</v>
      </c>
      <c r="C42" s="81">
        <v>1533254</v>
      </c>
      <c r="D42" s="81">
        <v>5814427</v>
      </c>
      <c r="E42" s="81">
        <v>11043494</v>
      </c>
    </row>
    <row r="43" spans="1:5" ht="27" thickTop="1" thickBot="1">
      <c r="A43" s="69" t="s">
        <v>425</v>
      </c>
      <c r="B43" s="113">
        <v>4310236</v>
      </c>
      <c r="C43" s="113">
        <v>1538508</v>
      </c>
      <c r="D43" s="113">
        <v>5848744</v>
      </c>
      <c r="E43" s="113">
        <v>11099462</v>
      </c>
    </row>
    <row r="44" spans="1:5" ht="29.25" customHeight="1" thickTop="1" thickBot="1">
      <c r="A44" s="69" t="s">
        <v>440</v>
      </c>
      <c r="B44" s="81">
        <v>4374772</v>
      </c>
      <c r="C44" s="81">
        <v>1562781</v>
      </c>
      <c r="D44" s="81">
        <f>Table20[[#This Row],[أنثى
Female]]+Table20[[#This Row],[ذكر
Male]]</f>
        <v>5937553</v>
      </c>
      <c r="E44" s="81">
        <v>11251289</v>
      </c>
    </row>
    <row r="45" spans="1:5" ht="27" thickTop="1" thickBot="1">
      <c r="A45" s="116" t="s">
        <v>448</v>
      </c>
      <c r="B45" s="113">
        <v>4475713</v>
      </c>
      <c r="C45" s="113">
        <v>1578367</v>
      </c>
      <c r="D45" s="81">
        <f>Table20[[#This Row],[أنثى
Female]]+Table20[[#This Row],[ذكر
Male]]</f>
        <v>6054080</v>
      </c>
      <c r="E45" s="113">
        <v>11434692</v>
      </c>
    </row>
    <row r="46" spans="1:5" ht="27" thickTop="1" thickBot="1">
      <c r="A46" s="116" t="s">
        <v>482</v>
      </c>
      <c r="B46" s="113">
        <v>4554570</v>
      </c>
      <c r="C46" s="113">
        <v>1591660</v>
      </c>
      <c r="D46" s="113">
        <v>6146230</v>
      </c>
      <c r="E46" s="113">
        <v>11043494</v>
      </c>
    </row>
    <row r="47" spans="1:5" ht="27" thickTop="1" thickBot="1">
      <c r="A47" s="116" t="s">
        <v>580</v>
      </c>
      <c r="B47" s="113">
        <v>4662340</v>
      </c>
      <c r="C47" s="113">
        <v>1617344</v>
      </c>
      <c r="D47" s="113">
        <v>6279684</v>
      </c>
      <c r="E47" s="113">
        <v>11951571</v>
      </c>
    </row>
    <row r="48" spans="1:5" ht="27" thickTop="1" thickBot="1">
      <c r="A48" s="116" t="s">
        <v>587</v>
      </c>
      <c r="B48" s="113">
        <v>4817650</v>
      </c>
      <c r="C48" s="113">
        <v>1651891</v>
      </c>
      <c r="D48" s="113">
        <v>6469541</v>
      </c>
      <c r="E48" s="113">
        <v>12423639</v>
      </c>
    </row>
    <row r="49" spans="1:5" ht="27" thickTop="1" thickBot="1">
      <c r="A49" s="116" t="s">
        <v>596</v>
      </c>
      <c r="B49" s="113">
        <v>4830990</v>
      </c>
      <c r="C49" s="113">
        <v>1662686</v>
      </c>
      <c r="D49" s="113">
        <v>6493676</v>
      </c>
      <c r="E49" s="113">
        <v>12755615</v>
      </c>
    </row>
    <row r="50" spans="1:5" ht="27" thickTop="1" thickBot="1">
      <c r="A50" s="116" t="s">
        <v>603</v>
      </c>
      <c r="B50" s="113">
        <v>4921309</v>
      </c>
      <c r="C50" s="113">
        <v>1683026</v>
      </c>
      <c r="D50" s="113">
        <v>6604335</v>
      </c>
      <c r="E50" s="113">
        <v>13090915</v>
      </c>
    </row>
    <row r="51" spans="1:5" ht="27" thickTop="1" thickBot="1">
      <c r="A51" s="116" t="s">
        <v>610</v>
      </c>
      <c r="B51" s="113">
        <v>5044273</v>
      </c>
      <c r="C51" s="113">
        <v>1720191</v>
      </c>
      <c r="D51" s="113">
        <v>6764464</v>
      </c>
      <c r="E51" s="113">
        <v>13562817</v>
      </c>
    </row>
    <row r="52" spans="1:5" ht="27" thickTop="1" thickBot="1">
      <c r="A52" s="116" t="s">
        <v>623</v>
      </c>
      <c r="B52" s="113">
        <v>5156643</v>
      </c>
      <c r="C52" s="113">
        <v>1746237</v>
      </c>
      <c r="D52" s="113">
        <v>6902880</v>
      </c>
      <c r="E52" s="113">
        <v>13908564</v>
      </c>
    </row>
    <row r="53" spans="1:5" ht="27" thickTop="1" thickBot="1">
      <c r="A53" s="116" t="s">
        <v>691</v>
      </c>
      <c r="B53" s="113">
        <v>5264614</v>
      </c>
      <c r="C53" s="113">
        <v>1784349</v>
      </c>
      <c r="D53" s="113">
        <v>7048963</v>
      </c>
      <c r="E53" s="113">
        <v>14288496</v>
      </c>
    </row>
    <row r="54" spans="1:5" ht="27" thickTop="1" thickBot="1">
      <c r="A54" s="116" t="s">
        <v>696</v>
      </c>
      <c r="B54" s="113">
        <v>5348808</v>
      </c>
      <c r="C54" s="113">
        <v>1811754</v>
      </c>
      <c r="D54" s="113">
        <v>7160562</v>
      </c>
      <c r="E54" s="113">
        <v>14573141</v>
      </c>
    </row>
    <row r="55" spans="1:5" ht="15.75" thickBot="1">
      <c r="A55" s="43" t="s">
        <v>96</v>
      </c>
      <c r="B55" s="48"/>
      <c r="C55" s="48"/>
      <c r="D55" s="48"/>
      <c r="E55" s="47" t="s">
        <v>53</v>
      </c>
    </row>
  </sheetData>
  <mergeCells count="1">
    <mergeCell ref="B5:E5"/>
  </mergeCells>
  <phoneticPr fontId="85" type="noConversion"/>
  <pageMargins left="0.7" right="0.7" top="0.75" bottom="0.75" header="0.3" footer="0.3"/>
  <pageSetup paperSize="9" orientation="portrait" r:id="rId1"/>
  <headerFooter>
    <oddFooter>&amp;C&amp;"Calibri"&amp;11&amp;K000000&amp;"Calibri"&amp;11&amp;K000000&amp;"Calibri"&amp;11&amp;K000000&amp;10&amp;K663300Classification: &amp;K000000 Internal  داخلي_x000D_&amp;1#&amp;"Calibri"&amp;10&amp;K000000Internal - داخلي</oddFooter>
    <evenFooter>&amp;C&amp;10&amp;K663300Classification: &amp;K000000 Internal  داخلي</evenFooter>
    <firstFooter>&amp;C&amp;10&amp;K663300Classification: &amp;K000000 Internal  داخلي</firstFooter>
  </headerFooter>
  <drawing r:id="rId2"/>
  <tableParts count="1"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6">
    <pageSetUpPr autoPageBreaks="0"/>
  </sheetPr>
  <dimension ref="A1:AM217"/>
  <sheetViews>
    <sheetView showGridLines="0" rightToLeft="1" zoomScale="110" zoomScaleNormal="110" workbookViewId="0">
      <pane xSplit="1" ySplit="7" topLeftCell="N92" activePane="bottomRight" state="frozen"/>
      <selection pane="topRight" activeCell="B1" sqref="B1"/>
      <selection pane="bottomLeft" activeCell="A8" sqref="A8"/>
      <selection pane="bottomRight" activeCell="A93" sqref="A93"/>
    </sheetView>
  </sheetViews>
  <sheetFormatPr defaultColWidth="9.140625" defaultRowHeight="15"/>
  <cols>
    <col min="1" max="1" width="19.42578125" style="26" customWidth="1"/>
    <col min="2" max="2" width="20.140625" style="60" customWidth="1"/>
    <col min="3" max="18" width="20.140625" style="26" customWidth="1"/>
    <col min="19" max="19" width="19.85546875" style="45" customWidth="1"/>
    <col min="20" max="20" width="13.42578125" style="26" bestFit="1" customWidth="1"/>
    <col min="21" max="21" width="9.140625" style="26"/>
    <col min="22" max="22" width="17.42578125" style="26" bestFit="1" customWidth="1"/>
    <col min="23" max="16384" width="9.140625" style="26"/>
  </cols>
  <sheetData>
    <row r="1" spans="1:39">
      <c r="B1" s="74"/>
      <c r="C1" s="28"/>
      <c r="D1" s="28"/>
    </row>
    <row r="2" spans="1:39" ht="15.75">
      <c r="A2" s="29"/>
      <c r="B2" s="29"/>
      <c r="C2" s="29"/>
      <c r="D2" s="29"/>
      <c r="E2" s="29"/>
      <c r="F2" s="29"/>
      <c r="G2" s="29"/>
      <c r="H2" s="30"/>
    </row>
    <row r="3" spans="1:39" ht="15.75">
      <c r="A3" s="29"/>
      <c r="B3" s="29"/>
      <c r="C3" s="29"/>
      <c r="D3" s="29"/>
      <c r="E3" s="29"/>
      <c r="F3" s="29"/>
      <c r="G3" s="29"/>
      <c r="H3" s="30"/>
    </row>
    <row r="4" spans="1:39" ht="54" customHeight="1">
      <c r="B4" s="26"/>
    </row>
    <row r="5" spans="1:39" ht="63" customHeight="1">
      <c r="B5" s="143"/>
      <c r="C5" s="143"/>
      <c r="D5" s="143"/>
      <c r="E5" s="143"/>
      <c r="F5" s="143"/>
      <c r="G5" s="143"/>
      <c r="H5" s="143"/>
      <c r="I5" s="191" t="s">
        <v>683</v>
      </c>
      <c r="J5" s="191"/>
      <c r="K5" s="191"/>
      <c r="L5" s="191"/>
      <c r="M5" s="191"/>
      <c r="N5" s="191"/>
      <c r="O5" s="191"/>
      <c r="P5" s="191"/>
      <c r="Q5" s="143"/>
      <c r="R5" s="143"/>
      <c r="S5" s="95"/>
    </row>
    <row r="6" spans="1:39" ht="15.75" thickBot="1">
      <c r="S6" s="71"/>
    </row>
    <row r="7" spans="1:39" ht="66" customHeight="1" thickBot="1">
      <c r="A7" s="109" t="s">
        <v>14</v>
      </c>
      <c r="B7" s="128" t="s">
        <v>396</v>
      </c>
      <c r="C7" s="129" t="s">
        <v>397</v>
      </c>
      <c r="D7" s="129" t="s">
        <v>398</v>
      </c>
      <c r="E7" s="129" t="s">
        <v>399</v>
      </c>
      <c r="F7" s="129" t="s">
        <v>400</v>
      </c>
      <c r="G7" s="129" t="s">
        <v>401</v>
      </c>
      <c r="H7" s="129" t="s">
        <v>402</v>
      </c>
      <c r="I7" s="129" t="s">
        <v>403</v>
      </c>
      <c r="J7" s="129" t="s">
        <v>404</v>
      </c>
      <c r="K7" s="129" t="s">
        <v>405</v>
      </c>
      <c r="L7" s="129" t="s">
        <v>406</v>
      </c>
      <c r="M7" s="129" t="s">
        <v>407</v>
      </c>
      <c r="N7" s="129" t="s">
        <v>408</v>
      </c>
      <c r="O7" s="129" t="s">
        <v>419</v>
      </c>
      <c r="P7" s="129" t="s">
        <v>410</v>
      </c>
      <c r="Q7" s="129" t="s">
        <v>411</v>
      </c>
      <c r="R7" s="110" t="s">
        <v>13</v>
      </c>
      <c r="S7" s="26"/>
    </row>
    <row r="8" spans="1:39" ht="65.25" customHeight="1" thickTop="1" thickBot="1">
      <c r="A8" s="73" t="s">
        <v>127</v>
      </c>
      <c r="B8" s="152">
        <v>177890.15</v>
      </c>
      <c r="C8" s="152">
        <v>91430.93</v>
      </c>
      <c r="D8" s="152">
        <v>389778.59</v>
      </c>
      <c r="E8" s="152">
        <v>6348.92</v>
      </c>
      <c r="F8" s="152">
        <v>372279.66</v>
      </c>
      <c r="G8" s="152">
        <v>51761.77</v>
      </c>
      <c r="H8" s="152">
        <v>701603.03</v>
      </c>
      <c r="I8" s="152">
        <v>70756.039999999994</v>
      </c>
      <c r="J8" s="152">
        <v>2742.84</v>
      </c>
      <c r="K8" s="152">
        <v>48390.86</v>
      </c>
      <c r="L8" s="152">
        <v>944.17</v>
      </c>
      <c r="M8" s="152">
        <v>22980.76</v>
      </c>
      <c r="N8" s="152">
        <v>6957.77</v>
      </c>
      <c r="O8" s="152">
        <v>75.64</v>
      </c>
      <c r="P8" s="152">
        <v>69133.460000000006</v>
      </c>
      <c r="Q8" s="152">
        <v>22.07</v>
      </c>
      <c r="R8" s="153">
        <v>2013096.64</v>
      </c>
      <c r="S8" s="26"/>
    </row>
    <row r="9" spans="1:39" ht="86.25" customHeight="1" thickTop="1" thickBot="1">
      <c r="A9" s="73" t="s">
        <v>128</v>
      </c>
      <c r="B9" s="154">
        <f t="shared" ref="B9:Q9" si="0">(B8/$R8)*100</f>
        <v>8.8366423382436334</v>
      </c>
      <c r="C9" s="154">
        <f t="shared" si="0"/>
        <v>4.541805305482006</v>
      </c>
      <c r="D9" s="154">
        <f t="shared" si="0"/>
        <v>19.36214001132107</v>
      </c>
      <c r="E9" s="154">
        <f t="shared" si="0"/>
        <v>0.31538078569342803</v>
      </c>
      <c r="F9" s="154">
        <f t="shared" si="0"/>
        <v>18.492885666929531</v>
      </c>
      <c r="G9" s="154">
        <f t="shared" si="0"/>
        <v>2.5712511248342258</v>
      </c>
      <c r="H9" s="154">
        <f t="shared" si="0"/>
        <v>34.851929910329595</v>
      </c>
      <c r="I9" s="154">
        <f t="shared" si="0"/>
        <v>3.5147860561726434</v>
      </c>
      <c r="J9" s="154">
        <f t="shared" si="0"/>
        <v>0.1362497927570929</v>
      </c>
      <c r="K9" s="154">
        <f t="shared" si="0"/>
        <v>2.4038021344072189</v>
      </c>
      <c r="L9" s="154">
        <f t="shared" si="0"/>
        <v>4.6901374789438822E-2</v>
      </c>
      <c r="M9" s="154">
        <f t="shared" si="0"/>
        <v>1.1415626822565259</v>
      </c>
      <c r="N9" s="154">
        <f t="shared" si="0"/>
        <v>0.3456252353587953</v>
      </c>
      <c r="O9" s="154">
        <f t="shared" si="0"/>
        <v>3.7573953727328266E-3</v>
      </c>
      <c r="P9" s="154">
        <f t="shared" si="0"/>
        <v>3.434184858606689</v>
      </c>
      <c r="Q9" s="154">
        <f t="shared" si="0"/>
        <v>1.0963209396643771E-3</v>
      </c>
      <c r="R9" s="155">
        <v>100</v>
      </c>
      <c r="S9" s="26"/>
    </row>
    <row r="10" spans="1:39" ht="52.5" thickTop="1" thickBot="1">
      <c r="A10" s="73" t="s">
        <v>129</v>
      </c>
      <c r="B10" s="152">
        <v>141220.91</v>
      </c>
      <c r="C10" s="152">
        <v>73597.59</v>
      </c>
      <c r="D10" s="152">
        <v>323728.34999999998</v>
      </c>
      <c r="E10" s="152">
        <v>4679.2</v>
      </c>
      <c r="F10" s="152">
        <v>305188.45</v>
      </c>
      <c r="G10" s="152">
        <v>42862.94</v>
      </c>
      <c r="H10" s="152">
        <v>597303.51</v>
      </c>
      <c r="I10" s="152">
        <v>54012.35</v>
      </c>
      <c r="J10" s="152">
        <v>2142.08</v>
      </c>
      <c r="K10" s="152">
        <v>39453.57</v>
      </c>
      <c r="L10" s="152">
        <v>741.72</v>
      </c>
      <c r="M10" s="152">
        <v>18059.57</v>
      </c>
      <c r="N10" s="152">
        <v>5766.04</v>
      </c>
      <c r="O10" s="152">
        <v>456.3</v>
      </c>
      <c r="P10" s="152">
        <v>57820.73</v>
      </c>
      <c r="Q10" s="152">
        <v>10.19</v>
      </c>
      <c r="R10" s="153">
        <v>1667043.51</v>
      </c>
      <c r="S10" s="26"/>
    </row>
    <row r="11" spans="1:39" ht="39.75" thickTop="1" thickBot="1">
      <c r="A11" s="73" t="s">
        <v>130</v>
      </c>
      <c r="B11" s="154">
        <f t="shared" ref="B11:Q11" si="1">(B10/$R10)*100</f>
        <v>8.4713391793835058</v>
      </c>
      <c r="C11" s="154">
        <f t="shared" si="1"/>
        <v>4.414857174303747</v>
      </c>
      <c r="D11" s="154">
        <f t="shared" si="1"/>
        <v>19.419310177453013</v>
      </c>
      <c r="E11" s="154">
        <f t="shared" si="1"/>
        <v>0.2806885346381871</v>
      </c>
      <c r="F11" s="154">
        <f t="shared" si="1"/>
        <v>18.307167639553693</v>
      </c>
      <c r="G11" s="154">
        <f t="shared" si="1"/>
        <v>2.5711950373748795</v>
      </c>
      <c r="H11" s="154">
        <f t="shared" si="1"/>
        <v>35.830109197329833</v>
      </c>
      <c r="I11" s="154">
        <f t="shared" si="1"/>
        <v>3.2400084146573955</v>
      </c>
      <c r="J11" s="154">
        <f t="shared" si="1"/>
        <v>0.12849574634077787</v>
      </c>
      <c r="K11" s="154">
        <f t="shared" si="1"/>
        <v>2.3666790796600146</v>
      </c>
      <c r="L11" s="154">
        <f t="shared" si="1"/>
        <v>4.4493139834124666E-2</v>
      </c>
      <c r="M11" s="154">
        <f t="shared" si="1"/>
        <v>1.0833292527559764</v>
      </c>
      <c r="N11" s="154">
        <f t="shared" si="1"/>
        <v>0.34588419350854255</v>
      </c>
      <c r="O11" s="154">
        <f t="shared" si="1"/>
        <v>2.7371811069286368E-2</v>
      </c>
      <c r="P11" s="154">
        <f t="shared" si="1"/>
        <v>3.4684595604826174</v>
      </c>
      <c r="Q11" s="154">
        <f t="shared" si="1"/>
        <v>6.1126179004170078E-4</v>
      </c>
      <c r="R11" s="155">
        <v>100</v>
      </c>
      <c r="S11" s="26"/>
    </row>
    <row r="12" spans="1:39" ht="52.5" thickTop="1" thickBot="1">
      <c r="A12" s="73" t="s">
        <v>551</v>
      </c>
      <c r="B12" s="152">
        <v>136989.76999999999</v>
      </c>
      <c r="C12" s="152">
        <v>72039.06</v>
      </c>
      <c r="D12" s="152">
        <v>293309.27</v>
      </c>
      <c r="E12" s="152">
        <v>3910.47</v>
      </c>
      <c r="F12" s="152">
        <v>276529.51</v>
      </c>
      <c r="G12" s="152">
        <v>42785.57</v>
      </c>
      <c r="H12" s="152">
        <v>591878.18999999994</v>
      </c>
      <c r="I12" s="152">
        <v>49795.06</v>
      </c>
      <c r="J12" s="152">
        <v>2326.5300000000002</v>
      </c>
      <c r="K12" s="152">
        <v>36647.08</v>
      </c>
      <c r="L12" s="152">
        <v>698.44</v>
      </c>
      <c r="M12" s="152">
        <v>14921.29</v>
      </c>
      <c r="N12" s="152">
        <v>4644.97</v>
      </c>
      <c r="O12" s="152">
        <v>1418.34</v>
      </c>
      <c r="P12" s="152">
        <v>51150.48</v>
      </c>
      <c r="Q12" s="152">
        <v>15.43</v>
      </c>
      <c r="R12" s="153">
        <v>1579059.46</v>
      </c>
      <c r="S12" s="26"/>
    </row>
    <row r="13" spans="1:39" ht="39.75" thickTop="1" thickBot="1">
      <c r="A13" s="73" t="s">
        <v>552</v>
      </c>
      <c r="B13" s="154">
        <f t="shared" ref="B13:Q13" si="2">(B12/$R12)*100</f>
        <v>8.6754028882484242</v>
      </c>
      <c r="C13" s="154">
        <f t="shared" si="2"/>
        <v>4.5621499268938228</v>
      </c>
      <c r="D13" s="154">
        <f t="shared" si="2"/>
        <v>18.574935107256824</v>
      </c>
      <c r="E13" s="154">
        <f t="shared" si="2"/>
        <v>0.24764551931438983</v>
      </c>
      <c r="F13" s="154">
        <f t="shared" si="2"/>
        <v>17.512292412345261</v>
      </c>
      <c r="G13" s="154">
        <f t="shared" si="2"/>
        <v>2.7095604113603171</v>
      </c>
      <c r="H13" s="154">
        <f t="shared" si="2"/>
        <v>37.482957734853123</v>
      </c>
      <c r="I13" s="154">
        <f t="shared" si="2"/>
        <v>3.153463264771549</v>
      </c>
      <c r="J13" s="154">
        <f t="shared" si="2"/>
        <v>0.14733644038964816</v>
      </c>
      <c r="K13" s="154">
        <f t="shared" si="2"/>
        <v>2.3208169754418244</v>
      </c>
      <c r="L13" s="154">
        <f t="shared" si="2"/>
        <v>4.4231393287748645E-2</v>
      </c>
      <c r="M13" s="154">
        <f t="shared" si="2"/>
        <v>0.94494795021841682</v>
      </c>
      <c r="N13" s="154">
        <f t="shared" si="2"/>
        <v>0.29416055048364043</v>
      </c>
      <c r="O13" s="154">
        <f t="shared" si="2"/>
        <v>8.9821823428992337E-2</v>
      </c>
      <c r="P13" s="154">
        <f>(P12/$R12)*100</f>
        <v>3.2393004377428576</v>
      </c>
      <c r="Q13" s="154">
        <f t="shared" si="2"/>
        <v>9.7716396316070318E-4</v>
      </c>
      <c r="R13" s="155">
        <v>100</v>
      </c>
      <c r="S13" s="26"/>
    </row>
    <row r="14" spans="1:39" ht="52.5" thickTop="1" thickBot="1">
      <c r="A14" s="73" t="s">
        <v>131</v>
      </c>
      <c r="B14" s="152">
        <v>125109.237167</v>
      </c>
      <c r="C14" s="152">
        <v>68343.527774999995</v>
      </c>
      <c r="D14" s="152">
        <v>249268.85714199999</v>
      </c>
      <c r="E14" s="152">
        <v>3483.5144150000001</v>
      </c>
      <c r="F14" s="152">
        <v>254140.28719500001</v>
      </c>
      <c r="G14" s="152">
        <v>43877.840725000002</v>
      </c>
      <c r="H14" s="152">
        <v>552365.74387100001</v>
      </c>
      <c r="I14" s="152">
        <v>40164.698639000002</v>
      </c>
      <c r="J14" s="152">
        <v>2501.233937</v>
      </c>
      <c r="K14" s="152">
        <v>33778.463558000003</v>
      </c>
      <c r="L14" s="152">
        <v>628.56920400000001</v>
      </c>
      <c r="M14" s="152">
        <v>12270.461773000001</v>
      </c>
      <c r="N14" s="152">
        <v>4756.7437099999997</v>
      </c>
      <c r="O14" s="152">
        <v>1211.074382</v>
      </c>
      <c r="P14" s="152">
        <v>45375.929353</v>
      </c>
      <c r="Q14" s="152">
        <v>13.539764999999999</v>
      </c>
      <c r="R14" s="153">
        <v>1437289.72</v>
      </c>
      <c r="S14" s="26"/>
    </row>
    <row r="15" spans="1:39" ht="39.75" thickTop="1" thickBot="1">
      <c r="A15" s="73" t="s">
        <v>132</v>
      </c>
      <c r="B15" s="154">
        <f t="shared" ref="B15:Q15" si="3">(B14/$R14)*100</f>
        <v>8.7045245941785492</v>
      </c>
      <c r="C15" s="154">
        <f t="shared" si="3"/>
        <v>4.7550279407133029</v>
      </c>
      <c r="D15" s="154">
        <f t="shared" si="3"/>
        <v>17.342979197123874</v>
      </c>
      <c r="E15" s="154">
        <f t="shared" si="3"/>
        <v>0.2423668914156013</v>
      </c>
      <c r="F15" s="154">
        <f t="shared" si="3"/>
        <v>17.681910867281513</v>
      </c>
      <c r="G15" s="154">
        <f t="shared" si="3"/>
        <v>3.0528181002366042</v>
      </c>
      <c r="H15" s="154">
        <f t="shared" si="3"/>
        <v>38.431064814893411</v>
      </c>
      <c r="I15" s="154">
        <f t="shared" si="3"/>
        <v>2.7944747729079982</v>
      </c>
      <c r="J15" s="154">
        <f t="shared" si="3"/>
        <v>0.17402433915689594</v>
      </c>
      <c r="K15" s="154">
        <f t="shared" si="3"/>
        <v>2.3501499445776322</v>
      </c>
      <c r="L15" s="154">
        <f t="shared" si="3"/>
        <v>4.3732950653818076E-2</v>
      </c>
      <c r="M15" s="154">
        <f t="shared" si="3"/>
        <v>0.85372222470219872</v>
      </c>
      <c r="N15" s="154">
        <f t="shared" si="3"/>
        <v>0.33095232254218027</v>
      </c>
      <c r="O15" s="154">
        <f t="shared" si="3"/>
        <v>8.4260978503345879E-2</v>
      </c>
      <c r="P15" s="154">
        <f t="shared" si="3"/>
        <v>3.1570482082763385</v>
      </c>
      <c r="Q15" s="154">
        <f t="shared" si="3"/>
        <v>9.4203449809687637E-4</v>
      </c>
      <c r="R15" s="155">
        <v>100</v>
      </c>
      <c r="S15" s="26"/>
    </row>
    <row r="16" spans="1:39" ht="52.5" thickTop="1" thickBot="1">
      <c r="A16" s="73" t="s">
        <v>133</v>
      </c>
      <c r="B16" s="152">
        <v>130232.195974</v>
      </c>
      <c r="C16" s="152">
        <v>72678.961720000007</v>
      </c>
      <c r="D16" s="152">
        <v>251948.224705</v>
      </c>
      <c r="E16" s="152">
        <v>3617.287194</v>
      </c>
      <c r="F16" s="152">
        <v>267139.47989800002</v>
      </c>
      <c r="G16" s="152">
        <v>48247.634325999999</v>
      </c>
      <c r="H16" s="152">
        <v>586361.29821599997</v>
      </c>
      <c r="I16" s="152">
        <v>42368.472096999998</v>
      </c>
      <c r="J16" s="152">
        <v>2873.7167260000001</v>
      </c>
      <c r="K16" s="152">
        <v>34904.853300000002</v>
      </c>
      <c r="L16" s="152">
        <v>697.07241899999997</v>
      </c>
      <c r="M16" s="152">
        <v>13738.374486999999</v>
      </c>
      <c r="N16" s="152">
        <v>4282.3282220000001</v>
      </c>
      <c r="O16" s="152">
        <v>1390.8601839999999</v>
      </c>
      <c r="P16" s="152">
        <v>43847.589789999998</v>
      </c>
      <c r="Q16" s="152">
        <v>17.949577000000001</v>
      </c>
      <c r="R16" s="153">
        <v>1504346.2988318</v>
      </c>
      <c r="S16" s="26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</row>
    <row r="17" spans="1:19" ht="39.75" thickTop="1" thickBot="1">
      <c r="A17" s="73" t="s">
        <v>134</v>
      </c>
      <c r="B17" s="154">
        <f t="shared" ref="B17:Q17" si="4">(B16/$R16)*100</f>
        <v>8.6570622784881248</v>
      </c>
      <c r="C17" s="154">
        <f t="shared" si="4"/>
        <v>4.8312653659891245</v>
      </c>
      <c r="D17" s="154">
        <f t="shared" si="4"/>
        <v>16.748020379393385</v>
      </c>
      <c r="E17" s="154">
        <f t="shared" si="4"/>
        <v>0.24045575123287796</v>
      </c>
      <c r="F17" s="154">
        <f t="shared" si="4"/>
        <v>17.757844726672786</v>
      </c>
      <c r="G17" s="154">
        <f t="shared" si="4"/>
        <v>3.207215942463959</v>
      </c>
      <c r="H17" s="154">
        <f t="shared" si="4"/>
        <v>38.977813730212176</v>
      </c>
      <c r="I17" s="154">
        <f t="shared" si="4"/>
        <v>2.8164041836577942</v>
      </c>
      <c r="J17" s="154">
        <f t="shared" si="4"/>
        <v>0.19102760635842855</v>
      </c>
      <c r="K17" s="154">
        <f t="shared" si="4"/>
        <v>2.3202671703387288</v>
      </c>
      <c r="L17" s="154">
        <f t="shared" si="4"/>
        <v>4.6337230964792579E-2</v>
      </c>
      <c r="M17" s="154">
        <f t="shared" si="4"/>
        <v>0.91324547397554223</v>
      </c>
      <c r="N17" s="154">
        <f t="shared" si="4"/>
        <v>0.2846637257209621</v>
      </c>
      <c r="O17" s="154">
        <f t="shared" si="4"/>
        <v>9.2456117655892942E-2</v>
      </c>
      <c r="P17" s="154">
        <f t="shared" si="4"/>
        <v>2.9147271359028064</v>
      </c>
      <c r="Q17" s="154">
        <f t="shared" si="4"/>
        <v>1.1931811853386912E-3</v>
      </c>
      <c r="R17" s="155">
        <v>100</v>
      </c>
      <c r="S17" s="26"/>
    </row>
    <row r="18" spans="1:19" ht="65.25" thickTop="1" thickBot="1">
      <c r="A18" s="73" t="s">
        <v>135</v>
      </c>
      <c r="B18" s="152">
        <v>112222.96260524001</v>
      </c>
      <c r="C18" s="152">
        <v>62229.837051249997</v>
      </c>
      <c r="D18" s="152">
        <v>219247.03096635998</v>
      </c>
      <c r="E18" s="152">
        <v>4026.7871473299997</v>
      </c>
      <c r="F18" s="152">
        <v>231926.16927342999</v>
      </c>
      <c r="G18" s="152">
        <v>40030.764015889996</v>
      </c>
      <c r="H18" s="152">
        <v>531138.39184644003</v>
      </c>
      <c r="I18" s="152">
        <v>37087.313191089997</v>
      </c>
      <c r="J18" s="152">
        <v>2556.1471383799999</v>
      </c>
      <c r="K18" s="152">
        <v>28656.517847499999</v>
      </c>
      <c r="L18" s="152">
        <v>548.74575902999993</v>
      </c>
      <c r="M18" s="152">
        <v>12339.076718530001</v>
      </c>
      <c r="N18" s="152">
        <v>3704.7797804699999</v>
      </c>
      <c r="O18" s="152">
        <v>1112.5354940100001</v>
      </c>
      <c r="P18" s="152">
        <v>37815.16250002</v>
      </c>
      <c r="Q18" s="152">
        <v>10.34859112</v>
      </c>
      <c r="R18" s="153">
        <v>1324652.57</v>
      </c>
      <c r="S18" s="26"/>
    </row>
    <row r="19" spans="1:19" ht="52.5" thickTop="1" thickBot="1">
      <c r="A19" s="73" t="s">
        <v>136</v>
      </c>
      <c r="B19" s="154">
        <f t="shared" ref="B19:Q19" si="5">(B18/$R18)*100</f>
        <v>8.4718789776884673</v>
      </c>
      <c r="C19" s="154">
        <f t="shared" si="5"/>
        <v>4.6978232980176831</v>
      </c>
      <c r="D19" s="154">
        <f t="shared" si="5"/>
        <v>16.551285667785326</v>
      </c>
      <c r="E19" s="154">
        <f t="shared" si="5"/>
        <v>0.30398817308979365</v>
      </c>
      <c r="F19" s="154">
        <f t="shared" si="5"/>
        <v>17.508452746476006</v>
      </c>
      <c r="G19" s="154">
        <f t="shared" si="5"/>
        <v>3.0219821349752105</v>
      </c>
      <c r="H19" s="154">
        <f t="shared" si="5"/>
        <v>40.09643010366409</v>
      </c>
      <c r="I19" s="154">
        <f t="shared" si="5"/>
        <v>2.7997766381180234</v>
      </c>
      <c r="J19" s="154">
        <f t="shared" si="5"/>
        <v>0.19296736338797121</v>
      </c>
      <c r="K19" s="154">
        <f t="shared" si="5"/>
        <v>2.163323311825077</v>
      </c>
      <c r="L19" s="154">
        <f t="shared" si="5"/>
        <v>4.1425636537284635E-2</v>
      </c>
      <c r="M19" s="154">
        <f t="shared" si="5"/>
        <v>0.93149532171518756</v>
      </c>
      <c r="N19" s="154">
        <f t="shared" si="5"/>
        <v>0.27967935626094015</v>
      </c>
      <c r="O19" s="154">
        <f t="shared" si="5"/>
        <v>8.3986965277242476E-2</v>
      </c>
      <c r="P19" s="154">
        <f t="shared" si="5"/>
        <v>2.8547230690097103</v>
      </c>
      <c r="Q19" s="154">
        <f t="shared" si="5"/>
        <v>7.8123059241111046E-4</v>
      </c>
      <c r="R19" s="155">
        <v>100</v>
      </c>
      <c r="S19" s="26"/>
    </row>
    <row r="20" spans="1:19" ht="52.5" thickTop="1" thickBot="1">
      <c r="A20" s="73" t="s">
        <v>553</v>
      </c>
      <c r="B20" s="152">
        <v>136426.24869109</v>
      </c>
      <c r="C20" s="152">
        <v>76220.847910320008</v>
      </c>
      <c r="D20" s="152">
        <v>265231.31583759002</v>
      </c>
      <c r="E20" s="152">
        <v>4686.8002726300001</v>
      </c>
      <c r="F20" s="152">
        <v>291523.00482906</v>
      </c>
      <c r="G20" s="152">
        <v>88174.995415039986</v>
      </c>
      <c r="H20" s="152">
        <v>662662.62876905</v>
      </c>
      <c r="I20" s="152">
        <v>46858.79320262</v>
      </c>
      <c r="J20" s="152">
        <v>2973.64500193</v>
      </c>
      <c r="K20" s="152">
        <v>34431.932055900004</v>
      </c>
      <c r="L20" s="152">
        <v>713.99268423000001</v>
      </c>
      <c r="M20" s="152">
        <v>15256.53878259</v>
      </c>
      <c r="N20" s="152">
        <v>4586.5928844999999</v>
      </c>
      <c r="O20" s="152">
        <v>1976.8965972000001</v>
      </c>
      <c r="P20" s="152">
        <v>50218.740950669999</v>
      </c>
      <c r="Q20" s="152">
        <v>6.5777811900000005</v>
      </c>
      <c r="R20" s="153">
        <v>1681949.5516656102</v>
      </c>
      <c r="S20" s="26"/>
    </row>
    <row r="21" spans="1:19" ht="39.75" thickTop="1" thickBot="1">
      <c r="A21" s="73" t="s">
        <v>554</v>
      </c>
      <c r="B21" s="154">
        <f t="shared" ref="B21:Q21" si="6">(B20/$R20)*100</f>
        <v>8.1111974230136141</v>
      </c>
      <c r="C21" s="154">
        <f t="shared" si="6"/>
        <v>4.5316964373182067</v>
      </c>
      <c r="D21" s="154">
        <f t="shared" si="6"/>
        <v>15.769278904645819</v>
      </c>
      <c r="E21" s="154">
        <f t="shared" si="6"/>
        <v>0.27865284472942309</v>
      </c>
      <c r="F21" s="154">
        <f t="shared" si="6"/>
        <v>17.332446418524803</v>
      </c>
      <c r="G21" s="154">
        <f t="shared" si="6"/>
        <v>5.2424280697195451</v>
      </c>
      <c r="H21" s="154">
        <f t="shared" si="6"/>
        <v>39.398484224025914</v>
      </c>
      <c r="I21" s="154">
        <f t="shared" si="6"/>
        <v>2.7859808967644968</v>
      </c>
      <c r="J21" s="154">
        <f t="shared" si="6"/>
        <v>0.17679751446678307</v>
      </c>
      <c r="K21" s="154">
        <f t="shared" si="6"/>
        <v>2.0471441620708877</v>
      </c>
      <c r="L21" s="154">
        <f t="shared" si="6"/>
        <v>4.2450303192681581E-2</v>
      </c>
      <c r="M21" s="154">
        <f t="shared" si="6"/>
        <v>0.90707469599677781</v>
      </c>
      <c r="N21" s="154">
        <f t="shared" si="6"/>
        <v>0.27269503297277636</v>
      </c>
      <c r="O21" s="154">
        <f t="shared" si="6"/>
        <v>0.1175360221263657</v>
      </c>
      <c r="P21" s="154">
        <f t="shared" si="6"/>
        <v>2.9857459696659219</v>
      </c>
      <c r="Q21" s="154">
        <f t="shared" si="6"/>
        <v>3.9108076597696521E-4</v>
      </c>
      <c r="R21" s="155">
        <v>100</v>
      </c>
      <c r="S21" s="26"/>
    </row>
    <row r="22" spans="1:19" ht="52.5" thickTop="1" thickBot="1">
      <c r="A22" s="73" t="s">
        <v>137</v>
      </c>
      <c r="B22" s="152">
        <v>132181.06876214</v>
      </c>
      <c r="C22" s="152">
        <v>74329.895686539996</v>
      </c>
      <c r="D22" s="152">
        <v>253229.94403536999</v>
      </c>
      <c r="E22" s="152">
        <v>4671.49970656</v>
      </c>
      <c r="F22" s="152">
        <v>280881.13834657002</v>
      </c>
      <c r="G22" s="152">
        <v>89399.831424399992</v>
      </c>
      <c r="H22" s="152">
        <v>649739.74431356997</v>
      </c>
      <c r="I22" s="152">
        <v>46062.71135025</v>
      </c>
      <c r="J22" s="152">
        <v>2985.2587026700003</v>
      </c>
      <c r="K22" s="152">
        <v>35451.801102990001</v>
      </c>
      <c r="L22" s="152">
        <v>617.5684755499999</v>
      </c>
      <c r="M22" s="152">
        <v>10901.741944920001</v>
      </c>
      <c r="N22" s="152">
        <v>4343.9668172299998</v>
      </c>
      <c r="O22" s="152">
        <v>4633.4566613199995</v>
      </c>
      <c r="P22" s="152">
        <v>46610.074372690004</v>
      </c>
      <c r="Q22" s="152">
        <v>2004.6939330299999</v>
      </c>
      <c r="R22" s="153">
        <v>1638044.3956358</v>
      </c>
      <c r="S22" s="26"/>
    </row>
    <row r="23" spans="1:19" ht="39.75" thickTop="1" thickBot="1">
      <c r="A23" s="73" t="s">
        <v>138</v>
      </c>
      <c r="B23" s="154">
        <f t="shared" ref="B23:Q23" si="7">(B22/$R22)*100</f>
        <v>8.0694436069197302</v>
      </c>
      <c r="C23" s="154">
        <f t="shared" si="7"/>
        <v>4.5377216810835685</v>
      </c>
      <c r="D23" s="154">
        <f t="shared" si="7"/>
        <v>15.459284541374096</v>
      </c>
      <c r="E23" s="154">
        <f t="shared" si="7"/>
        <v>0.28518761268047177</v>
      </c>
      <c r="F23" s="154">
        <f t="shared" si="7"/>
        <v>17.147345889703264</v>
      </c>
      <c r="G23" s="154">
        <f t="shared" si="7"/>
        <v>5.4577172427429739</v>
      </c>
      <c r="H23" s="154">
        <f t="shared" si="7"/>
        <v>39.665575978566579</v>
      </c>
      <c r="I23" s="154">
        <f t="shared" si="7"/>
        <v>2.812055123351584</v>
      </c>
      <c r="J23" s="154">
        <f t="shared" si="7"/>
        <v>0.18224528655166788</v>
      </c>
      <c r="K23" s="154">
        <f t="shared" si="7"/>
        <v>2.1642759620827943</v>
      </c>
      <c r="L23" s="154">
        <f t="shared" si="7"/>
        <v>3.7701571288017093E-2</v>
      </c>
      <c r="M23" s="154">
        <f t="shared" si="7"/>
        <v>0.66553397294757299</v>
      </c>
      <c r="N23" s="154">
        <f t="shared" si="7"/>
        <v>0.26519225173649263</v>
      </c>
      <c r="O23" s="154">
        <f t="shared" si="7"/>
        <v>0.28286514539317736</v>
      </c>
      <c r="P23" s="154">
        <f t="shared" si="7"/>
        <v>2.845470763605189</v>
      </c>
      <c r="Q23" s="154">
        <f t="shared" si="7"/>
        <v>0.12238336997281972</v>
      </c>
      <c r="R23" s="155">
        <v>100</v>
      </c>
      <c r="S23" s="26"/>
    </row>
    <row r="24" spans="1:19" ht="52.5" thickTop="1" thickBot="1">
      <c r="A24" s="73" t="s">
        <v>139</v>
      </c>
      <c r="B24" s="152">
        <v>136708.33831404999</v>
      </c>
      <c r="C24" s="152">
        <v>73034.176038300095</v>
      </c>
      <c r="D24" s="152">
        <v>268096.03802307002</v>
      </c>
      <c r="E24" s="152">
        <v>4627.4980308000004</v>
      </c>
      <c r="F24" s="152">
        <v>294948.30556681001</v>
      </c>
      <c r="G24" s="152">
        <v>100045.88181517999</v>
      </c>
      <c r="H24" s="152">
        <v>719289.64742644993</v>
      </c>
      <c r="I24" s="152">
        <v>49848.871009499999</v>
      </c>
      <c r="J24" s="152">
        <v>3099.6291561100002</v>
      </c>
      <c r="K24" s="152">
        <v>35515.268953809995</v>
      </c>
      <c r="L24" s="152">
        <v>703.34630088999995</v>
      </c>
      <c r="M24" s="152">
        <v>10979.122091370002</v>
      </c>
      <c r="N24" s="152">
        <v>8128.1985601300003</v>
      </c>
      <c r="O24" s="152">
        <v>7106.3166425099998</v>
      </c>
      <c r="P24" s="152">
        <v>49077.447708719999</v>
      </c>
      <c r="Q24" s="152">
        <v>2783.3683405500001</v>
      </c>
      <c r="R24" s="153">
        <v>1763991.4539782503</v>
      </c>
      <c r="S24" s="26"/>
    </row>
    <row r="25" spans="1:19" ht="39.75" thickTop="1" thickBot="1">
      <c r="A25" s="73" t="s">
        <v>140</v>
      </c>
      <c r="B25" s="154">
        <f t="shared" ref="B25:Q25" si="8">(B24/$R24)*100</f>
        <v>7.749943346139113</v>
      </c>
      <c r="C25" s="154">
        <f t="shared" si="8"/>
        <v>4.1402794709458153</v>
      </c>
      <c r="D25" s="154">
        <f t="shared" si="8"/>
        <v>15.198261727314218</v>
      </c>
      <c r="E25" s="154">
        <f t="shared" si="8"/>
        <v>0.26233109125125365</v>
      </c>
      <c r="F25" s="154">
        <f t="shared" si="8"/>
        <v>16.720506491209264</v>
      </c>
      <c r="G25" s="154">
        <f t="shared" si="8"/>
        <v>5.6715627272201932</v>
      </c>
      <c r="H25" s="154">
        <f t="shared" si="8"/>
        <v>40.776254658392389</v>
      </c>
      <c r="I25" s="154">
        <f t="shared" si="8"/>
        <v>2.8259134077479846</v>
      </c>
      <c r="J25" s="154">
        <f t="shared" si="8"/>
        <v>0.17571678984722666</v>
      </c>
      <c r="K25" s="154">
        <f t="shared" si="8"/>
        <v>2.0133469963085142</v>
      </c>
      <c r="L25" s="154">
        <f t="shared" si="8"/>
        <v>3.9872432448795306E-2</v>
      </c>
      <c r="M25" s="154">
        <f t="shared" si="8"/>
        <v>0.62240222687073021</v>
      </c>
      <c r="N25" s="154">
        <f t="shared" si="8"/>
        <v>0.46078446365478931</v>
      </c>
      <c r="O25" s="154">
        <f t="shared" si="8"/>
        <v>0.40285436907777789</v>
      </c>
      <c r="P25" s="154">
        <f t="shared" si="8"/>
        <v>2.782181716245725</v>
      </c>
      <c r="Q25" s="154">
        <f t="shared" si="8"/>
        <v>0.15778808532619562</v>
      </c>
      <c r="R25" s="155">
        <v>100</v>
      </c>
      <c r="S25" s="26"/>
    </row>
    <row r="26" spans="1:19" ht="52.5" thickTop="1" thickBot="1">
      <c r="A26" s="73" t="s">
        <v>141</v>
      </c>
      <c r="B26" s="152">
        <v>135637.15</v>
      </c>
      <c r="C26" s="152">
        <v>72206.899999999994</v>
      </c>
      <c r="D26" s="152">
        <v>257714.79</v>
      </c>
      <c r="E26" s="152">
        <v>4930.2299999999996</v>
      </c>
      <c r="F26" s="152">
        <v>285201.59999999998</v>
      </c>
      <c r="G26" s="152">
        <v>177710.09</v>
      </c>
      <c r="H26" s="152">
        <v>626978.86</v>
      </c>
      <c r="I26" s="152">
        <v>50516.79</v>
      </c>
      <c r="J26" s="152">
        <v>3045.71</v>
      </c>
      <c r="K26" s="152">
        <v>33192.17</v>
      </c>
      <c r="L26" s="152">
        <v>708.01</v>
      </c>
      <c r="M26" s="152">
        <v>10892.16</v>
      </c>
      <c r="N26" s="152">
        <v>4326.13</v>
      </c>
      <c r="O26" s="152">
        <v>7232.85</v>
      </c>
      <c r="P26" s="152">
        <v>48357.99</v>
      </c>
      <c r="Q26" s="152">
        <v>2558.86</v>
      </c>
      <c r="R26" s="153">
        <v>1721210.3</v>
      </c>
      <c r="S26" s="26"/>
    </row>
    <row r="27" spans="1:19" ht="39.75" thickTop="1" thickBot="1">
      <c r="A27" s="73" t="s">
        <v>142</v>
      </c>
      <c r="B27" s="154">
        <f t="shared" ref="B27:Q27" si="9">(B26/$R26)*100</f>
        <v>7.8803357149326834</v>
      </c>
      <c r="C27" s="154">
        <f t="shared" si="9"/>
        <v>4.1951236289952485</v>
      </c>
      <c r="D27" s="154">
        <f t="shared" si="9"/>
        <v>14.972882163208064</v>
      </c>
      <c r="E27" s="154">
        <f t="shared" si="9"/>
        <v>0.28643972209555096</v>
      </c>
      <c r="F27" s="154">
        <f t="shared" si="9"/>
        <v>16.569828800118145</v>
      </c>
      <c r="G27" s="154">
        <f t="shared" si="9"/>
        <v>10.324716857666957</v>
      </c>
      <c r="H27" s="154">
        <f t="shared" si="9"/>
        <v>36.426627240146075</v>
      </c>
      <c r="I27" s="154">
        <f t="shared" si="9"/>
        <v>2.9349574540658976</v>
      </c>
      <c r="J27" s="154">
        <f t="shared" si="9"/>
        <v>0.1769516484998957</v>
      </c>
      <c r="K27" s="154">
        <f t="shared" si="9"/>
        <v>1.928420367923664</v>
      </c>
      <c r="L27" s="154">
        <f t="shared" si="9"/>
        <v>4.1134427327096518E-2</v>
      </c>
      <c r="M27" s="154">
        <f t="shared" si="9"/>
        <v>0.63281982451534247</v>
      </c>
      <c r="N27" s="154">
        <f t="shared" si="9"/>
        <v>0.25134232580411586</v>
      </c>
      <c r="O27" s="154">
        <f t="shared" si="9"/>
        <v>0.42021884252028935</v>
      </c>
      <c r="P27" s="154">
        <f t="shared" si="9"/>
        <v>2.8095340819189842</v>
      </c>
      <c r="Q27" s="154">
        <f t="shared" si="9"/>
        <v>0.14866631927545401</v>
      </c>
      <c r="R27" s="155">
        <v>100</v>
      </c>
      <c r="S27" s="26"/>
    </row>
    <row r="28" spans="1:19" ht="52.5" thickTop="1" thickBot="1">
      <c r="A28" s="73" t="s">
        <v>555</v>
      </c>
      <c r="B28" s="152">
        <v>136759</v>
      </c>
      <c r="C28" s="152">
        <v>71686</v>
      </c>
      <c r="D28" s="152">
        <v>250126</v>
      </c>
      <c r="E28" s="152">
        <v>4354</v>
      </c>
      <c r="F28" s="152">
        <v>272815</v>
      </c>
      <c r="G28" s="152">
        <v>163480</v>
      </c>
      <c r="H28" s="152">
        <v>635500</v>
      </c>
      <c r="I28" s="152">
        <v>49114</v>
      </c>
      <c r="J28" s="152">
        <v>2817</v>
      </c>
      <c r="K28" s="152">
        <v>31945</v>
      </c>
      <c r="L28" s="152">
        <v>559</v>
      </c>
      <c r="M28" s="152">
        <v>8540</v>
      </c>
      <c r="N28" s="152">
        <v>4174</v>
      </c>
      <c r="O28" s="152">
        <v>6966</v>
      </c>
      <c r="P28" s="152">
        <v>47622</v>
      </c>
      <c r="Q28" s="152">
        <v>3145</v>
      </c>
      <c r="R28" s="153">
        <v>1689603</v>
      </c>
      <c r="S28" s="26"/>
    </row>
    <row r="29" spans="1:19" ht="39.75" thickTop="1" thickBot="1">
      <c r="A29" s="73" t="s">
        <v>556</v>
      </c>
      <c r="B29" s="154">
        <f t="shared" ref="B29:Q29" si="10">(B28/$R28)*100</f>
        <v>8.0941499275273543</v>
      </c>
      <c r="C29" s="154">
        <f t="shared" si="10"/>
        <v>4.2427718227299547</v>
      </c>
      <c r="D29" s="154">
        <f t="shared" si="10"/>
        <v>14.803832616300989</v>
      </c>
      <c r="E29" s="154">
        <f t="shared" si="10"/>
        <v>0.25769367123519549</v>
      </c>
      <c r="F29" s="154">
        <f t="shared" si="10"/>
        <v>16.14669244787089</v>
      </c>
      <c r="G29" s="154">
        <f t="shared" si="10"/>
        <v>9.6756456990192383</v>
      </c>
      <c r="H29" s="154">
        <f t="shared" si="10"/>
        <v>37.612385868159556</v>
      </c>
      <c r="I29" s="154">
        <f t="shared" si="10"/>
        <v>2.9068366947738613</v>
      </c>
      <c r="J29" s="154">
        <f t="shared" si="10"/>
        <v>0.16672555624013452</v>
      </c>
      <c r="K29" s="154">
        <f t="shared" si="10"/>
        <v>1.8906808285733392</v>
      </c>
      <c r="L29" s="154">
        <f t="shared" si="10"/>
        <v>3.3084695043746962E-2</v>
      </c>
      <c r="M29" s="154">
        <f t="shared" si="10"/>
        <v>0.50544417830697508</v>
      </c>
      <c r="N29" s="154">
        <f t="shared" si="10"/>
        <v>0.24704028106010703</v>
      </c>
      <c r="O29" s="154">
        <f t="shared" si="10"/>
        <v>0.41228619977592368</v>
      </c>
      <c r="P29" s="154">
        <f t="shared" si="10"/>
        <v>2.8185319273225722</v>
      </c>
      <c r="Q29" s="154">
        <f t="shared" si="10"/>
        <v>0.18613840055918462</v>
      </c>
      <c r="R29" s="155">
        <v>100</v>
      </c>
      <c r="S29" s="26"/>
    </row>
    <row r="30" spans="1:19" ht="65.25" thickTop="1" thickBot="1">
      <c r="A30" s="73" t="s">
        <v>143</v>
      </c>
      <c r="B30" s="152">
        <v>145862.584779</v>
      </c>
      <c r="C30" s="152">
        <v>76784.094874000002</v>
      </c>
      <c r="D30" s="152">
        <v>264758.31846699998</v>
      </c>
      <c r="E30" s="152">
        <v>5232.8419469999999</v>
      </c>
      <c r="F30" s="152">
        <v>296427.82088900002</v>
      </c>
      <c r="G30" s="152">
        <v>172013.102721</v>
      </c>
      <c r="H30" s="152">
        <v>721502.85269099998</v>
      </c>
      <c r="I30" s="152">
        <v>57142.311905000002</v>
      </c>
      <c r="J30" s="152">
        <v>3308.0099650000002</v>
      </c>
      <c r="K30" s="152">
        <v>34597.326956999997</v>
      </c>
      <c r="L30" s="152">
        <v>631.34313799999995</v>
      </c>
      <c r="M30" s="152">
        <v>13978.248769</v>
      </c>
      <c r="N30" s="152">
        <v>4253.7164160000002</v>
      </c>
      <c r="O30" s="152">
        <v>14569.540516999999</v>
      </c>
      <c r="P30" s="152">
        <v>55166.659748999999</v>
      </c>
      <c r="Q30" s="154">
        <v>8.0520390000000006</v>
      </c>
      <c r="R30" s="156">
        <v>1866236.8258239999</v>
      </c>
      <c r="S30" s="26"/>
    </row>
    <row r="31" spans="1:19" ht="52.5" thickTop="1" thickBot="1">
      <c r="A31" s="73" t="s">
        <v>144</v>
      </c>
      <c r="B31" s="154">
        <v>7.8158668160818987</v>
      </c>
      <c r="C31" s="154">
        <v>4.1143810802328717</v>
      </c>
      <c r="D31" s="154">
        <v>14.186748155622912</v>
      </c>
      <c r="E31" s="154">
        <v>0.28039538576205869</v>
      </c>
      <c r="F31" s="154">
        <v>15.883719407277102</v>
      </c>
      <c r="G31" s="154">
        <v>9.2171100870407052</v>
      </c>
      <c r="H31" s="154">
        <v>38.660841041587595</v>
      </c>
      <c r="I31" s="154">
        <v>3.0619003501766486</v>
      </c>
      <c r="J31" s="154">
        <v>0.17725563654233362</v>
      </c>
      <c r="K31" s="154">
        <v>1.853855120544134</v>
      </c>
      <c r="L31" s="154">
        <v>3.3829743860165296E-2</v>
      </c>
      <c r="M31" s="154">
        <v>0.74900723078571074</v>
      </c>
      <c r="N31" s="154">
        <v>0.22793015104736963</v>
      </c>
      <c r="O31" s="154">
        <v>0.78069087027981643</v>
      </c>
      <c r="P31" s="154">
        <v>2.9560374645737584</v>
      </c>
      <c r="Q31" s="154">
        <v>4.314585849225806E-4</v>
      </c>
      <c r="R31" s="155">
        <v>100</v>
      </c>
      <c r="S31" s="26"/>
    </row>
    <row r="32" spans="1:19" ht="52.5" thickTop="1" thickBot="1">
      <c r="A32" s="73" t="s">
        <v>145</v>
      </c>
      <c r="B32" s="152">
        <v>158283.05880200001</v>
      </c>
      <c r="C32" s="152">
        <v>78109.099214000002</v>
      </c>
      <c r="D32" s="152">
        <v>271732.98248800001</v>
      </c>
      <c r="E32" s="152">
        <v>4926.8353230000002</v>
      </c>
      <c r="F32" s="152">
        <v>304726.94791400002</v>
      </c>
      <c r="G32" s="152">
        <v>179205.26828700001</v>
      </c>
      <c r="H32" s="152">
        <v>779872.46511300001</v>
      </c>
      <c r="I32" s="152">
        <v>65497.336911999999</v>
      </c>
      <c r="J32" s="152">
        <v>3230.274347</v>
      </c>
      <c r="K32" s="152">
        <v>37071.632876999996</v>
      </c>
      <c r="L32" s="152">
        <v>681.687048</v>
      </c>
      <c r="M32" s="152">
        <v>16516.788939999999</v>
      </c>
      <c r="N32" s="152">
        <v>4205.4142979999997</v>
      </c>
      <c r="O32" s="152">
        <v>18843.440750000002</v>
      </c>
      <c r="P32" s="152">
        <v>59400.566846000002</v>
      </c>
      <c r="Q32" s="152">
        <v>8.6530520000000006</v>
      </c>
      <c r="R32" s="153">
        <f t="shared" ref="R32:R37" si="11">SUM(B32:Q32)</f>
        <v>1982312.4522110005</v>
      </c>
      <c r="S32" s="26"/>
    </row>
    <row r="33" spans="1:19" ht="39.75" thickTop="1" thickBot="1">
      <c r="A33" s="73" t="s">
        <v>146</v>
      </c>
      <c r="B33" s="154">
        <f>(B32/$R32)*100</f>
        <v>7.9847684266653705</v>
      </c>
      <c r="C33" s="154">
        <f t="shared" ref="C33:Q33" si="12">(C32/$R32)*100</f>
        <v>3.940302101562239</v>
      </c>
      <c r="D33" s="154">
        <f t="shared" si="12"/>
        <v>13.707878502448933</v>
      </c>
      <c r="E33" s="154">
        <f t="shared" si="12"/>
        <v>0.2485397959088026</v>
      </c>
      <c r="F33" s="154">
        <f t="shared" si="12"/>
        <v>15.37229651027609</v>
      </c>
      <c r="G33" s="154">
        <f t="shared" si="12"/>
        <v>9.0402130142057509</v>
      </c>
      <c r="H33" s="154">
        <f t="shared" si="12"/>
        <v>39.341551037686216</v>
      </c>
      <c r="I33" s="154">
        <f t="shared" si="12"/>
        <v>3.3040874479170328</v>
      </c>
      <c r="J33" s="154">
        <f t="shared" si="12"/>
        <v>0.16295485322695052</v>
      </c>
      <c r="K33" s="154">
        <f t="shared" si="12"/>
        <v>1.8701205673026782</v>
      </c>
      <c r="L33" s="154">
        <f t="shared" si="12"/>
        <v>3.4388476309053631E-2</v>
      </c>
      <c r="M33" s="154">
        <f t="shared" si="12"/>
        <v>0.83320815149891037</v>
      </c>
      <c r="N33" s="154">
        <f t="shared" si="12"/>
        <v>0.21214689406351814</v>
      </c>
      <c r="O33" s="154">
        <f t="shared" si="12"/>
        <v>0.9505787409539147</v>
      </c>
      <c r="P33" s="154">
        <f>(P32/$R32)*100</f>
        <v>2.996528966952043</v>
      </c>
      <c r="Q33" s="154">
        <f t="shared" si="12"/>
        <v>4.3651302247275372E-4</v>
      </c>
      <c r="R33" s="155">
        <f>SUM(B33:Q33)</f>
        <v>99.999999999999972</v>
      </c>
      <c r="S33" s="26"/>
    </row>
    <row r="34" spans="1:19" ht="52.5" thickTop="1" thickBot="1">
      <c r="A34" s="73" t="s">
        <v>147</v>
      </c>
      <c r="B34" s="152">
        <v>148127.794693</v>
      </c>
      <c r="C34" s="152">
        <v>73989.524537999998</v>
      </c>
      <c r="D34" s="152">
        <v>263029.05577099998</v>
      </c>
      <c r="E34" s="152">
        <v>5654.7073650000002</v>
      </c>
      <c r="F34" s="152">
        <v>296351.988877</v>
      </c>
      <c r="G34" s="152">
        <v>94247.303660999998</v>
      </c>
      <c r="H34" s="152">
        <v>753151.834225</v>
      </c>
      <c r="I34" s="152">
        <v>129163.492664</v>
      </c>
      <c r="J34" s="152">
        <v>3067.0626149999998</v>
      </c>
      <c r="K34" s="152">
        <v>35545.206703999997</v>
      </c>
      <c r="L34" s="152">
        <v>843.02945199999999</v>
      </c>
      <c r="M34" s="152">
        <v>13576.966623</v>
      </c>
      <c r="N34" s="152">
        <v>6998.5050250000004</v>
      </c>
      <c r="O34" s="152">
        <v>16507.163052</v>
      </c>
      <c r="P34" s="152">
        <v>55457.535096</v>
      </c>
      <c r="Q34" s="152">
        <v>3223.7610559999998</v>
      </c>
      <c r="R34" s="156">
        <f>SUM(B34:Q34)</f>
        <v>1898934.931417</v>
      </c>
      <c r="S34" s="26"/>
    </row>
    <row r="35" spans="1:19" ht="39.75" thickTop="1" thickBot="1">
      <c r="A35" s="73" t="s">
        <v>148</v>
      </c>
      <c r="B35" s="154">
        <f>(B34/$R34)*100</f>
        <v>7.8005724283804661</v>
      </c>
      <c r="C35" s="154">
        <f t="shared" ref="C35:Q35" si="13">(C34/$R34)*100</f>
        <v>3.8963696603752735</v>
      </c>
      <c r="D35" s="154">
        <f t="shared" si="13"/>
        <v>13.851399087946929</v>
      </c>
      <c r="E35" s="154">
        <f t="shared" si="13"/>
        <v>0.29778310311983219</v>
      </c>
      <c r="F35" s="154">
        <f t="shared" si="13"/>
        <v>15.606221359878816</v>
      </c>
      <c r="G35" s="154">
        <f t="shared" si="13"/>
        <v>4.9631665678334711</v>
      </c>
      <c r="H35" s="154">
        <f t="shared" si="13"/>
        <v>39.661803138404125</v>
      </c>
      <c r="I35" s="154">
        <f t="shared" si="13"/>
        <v>6.8018914459389723</v>
      </c>
      <c r="J35" s="154">
        <f t="shared" si="13"/>
        <v>0.16151488733272887</v>
      </c>
      <c r="K35" s="154">
        <f t="shared" si="13"/>
        <v>1.8718496413921821</v>
      </c>
      <c r="L35" s="154">
        <f t="shared" si="13"/>
        <v>4.4394857246157708E-2</v>
      </c>
      <c r="M35" s="154">
        <f t="shared" si="13"/>
        <v>0.7149779804655424</v>
      </c>
      <c r="N35" s="154">
        <f t="shared" si="13"/>
        <v>0.36854896443332374</v>
      </c>
      <c r="O35" s="154">
        <f t="shared" si="13"/>
        <v>0.86928534405769387</v>
      </c>
      <c r="P35" s="154">
        <f t="shared" si="13"/>
        <v>2.9204547337815918</v>
      </c>
      <c r="Q35" s="154">
        <f t="shared" si="13"/>
        <v>0.16976679941289008</v>
      </c>
      <c r="R35" s="155">
        <f t="shared" si="11"/>
        <v>100.00000000000001</v>
      </c>
      <c r="S35" s="26"/>
    </row>
    <row r="36" spans="1:19" ht="52.5" thickTop="1" thickBot="1">
      <c r="A36" s="73" t="s">
        <v>557</v>
      </c>
      <c r="B36" s="152">
        <v>146137.789582</v>
      </c>
      <c r="C36" s="152">
        <v>72142.685305000006</v>
      </c>
      <c r="D36" s="152">
        <v>253307.82793</v>
      </c>
      <c r="E36" s="152">
        <v>4806.0401949999996</v>
      </c>
      <c r="F36" s="152">
        <v>283042.15510500001</v>
      </c>
      <c r="G36" s="152">
        <v>90179.651568999994</v>
      </c>
      <c r="H36" s="152">
        <v>754421.20063500002</v>
      </c>
      <c r="I36" s="152">
        <v>130915.21244</v>
      </c>
      <c r="J36" s="152">
        <v>2716.1130119999998</v>
      </c>
      <c r="K36" s="152">
        <v>33189.546563000004</v>
      </c>
      <c r="L36" s="152">
        <v>832.79577500000005</v>
      </c>
      <c r="M36" s="152">
        <v>9079.9145059999992</v>
      </c>
      <c r="N36" s="152">
        <v>3326.6292709999998</v>
      </c>
      <c r="O36" s="152">
        <v>13705.187012</v>
      </c>
      <c r="P36" s="152">
        <v>56833.757266000001</v>
      </c>
      <c r="Q36" s="152">
        <v>3898.9425660000002</v>
      </c>
      <c r="R36" s="156">
        <f t="shared" si="11"/>
        <v>1858535.4487319996</v>
      </c>
      <c r="S36" s="40"/>
    </row>
    <row r="37" spans="1:19" ht="39.75" thickTop="1" thickBot="1">
      <c r="A37" s="73" t="s">
        <v>558</v>
      </c>
      <c r="B37" s="154">
        <f t="shared" ref="B37:H37" si="14">(B36/$R36)*100</f>
        <v>7.8630617286155964</v>
      </c>
      <c r="C37" s="154">
        <f t="shared" si="14"/>
        <v>3.8816954152916439</v>
      </c>
      <c r="D37" s="154">
        <f t="shared" si="14"/>
        <v>13.629432147921703</v>
      </c>
      <c r="E37" s="154">
        <f t="shared" si="14"/>
        <v>0.2585928720530436</v>
      </c>
      <c r="F37" s="154">
        <f t="shared" si="14"/>
        <v>15.229311622660077</v>
      </c>
      <c r="G37" s="154">
        <f t="shared" si="14"/>
        <v>4.8521889442854462</v>
      </c>
      <c r="H37" s="154">
        <f t="shared" si="14"/>
        <v>40.59224165725275</v>
      </c>
      <c r="I37" s="154">
        <f t="shared" ref="I37:Q37" si="15">(I36/$R36)*100</f>
        <v>7.0439986780622315</v>
      </c>
      <c r="J37" s="154">
        <f t="shared" si="15"/>
        <v>0.14614265301493651</v>
      </c>
      <c r="K37" s="154">
        <f t="shared" si="15"/>
        <v>1.7857903429091886</v>
      </c>
      <c r="L37" s="154">
        <f t="shared" si="15"/>
        <v>4.4809248893701838E-2</v>
      </c>
      <c r="M37" s="154">
        <f t="shared" si="15"/>
        <v>0.48855212916142338</v>
      </c>
      <c r="N37" s="154">
        <f t="shared" si="15"/>
        <v>0.17899197312968221</v>
      </c>
      <c r="O37" s="154">
        <f t="shared" si="15"/>
        <v>0.73741864979494864</v>
      </c>
      <c r="P37" s="154">
        <f t="shared" si="15"/>
        <v>3.0579861850240886</v>
      </c>
      <c r="Q37" s="154">
        <f t="shared" si="15"/>
        <v>0.20978575192956822</v>
      </c>
      <c r="R37" s="155">
        <f t="shared" si="11"/>
        <v>100.00000000000003</v>
      </c>
      <c r="S37" s="26"/>
    </row>
    <row r="38" spans="1:19" ht="52.5" thickTop="1" thickBot="1">
      <c r="A38" s="73" t="s">
        <v>149</v>
      </c>
      <c r="B38" s="152">
        <v>160981.306415</v>
      </c>
      <c r="C38" s="152">
        <v>77690.024854000003</v>
      </c>
      <c r="D38" s="152">
        <v>282987.06489899999</v>
      </c>
      <c r="E38" s="152">
        <v>5479.8011210000004</v>
      </c>
      <c r="F38" s="152">
        <v>314107.85499999998</v>
      </c>
      <c r="G38" s="152">
        <v>196965.62145199999</v>
      </c>
      <c r="H38" s="152">
        <v>848380.62900099996</v>
      </c>
      <c r="I38" s="152">
        <v>46949.210293999997</v>
      </c>
      <c r="J38" s="152">
        <v>3194.4703469999999</v>
      </c>
      <c r="K38" s="152">
        <v>38473.031836000002</v>
      </c>
      <c r="L38" s="152">
        <v>881.72738900000002</v>
      </c>
      <c r="M38" s="152">
        <v>12435.092494</v>
      </c>
      <c r="N38" s="152">
        <v>3693.6958850000001</v>
      </c>
      <c r="O38" s="152">
        <v>25968.030543000001</v>
      </c>
      <c r="P38" s="152">
        <v>64560.643272000001</v>
      </c>
      <c r="Q38" s="152">
        <v>4260.552635</v>
      </c>
      <c r="R38" s="156">
        <f t="shared" ref="R38:R43" si="16">SUM(B38:Q38)</f>
        <v>2087008.7574370001</v>
      </c>
      <c r="S38" s="26"/>
    </row>
    <row r="39" spans="1:19" ht="39.75" thickTop="1" thickBot="1">
      <c r="A39" s="73" t="s">
        <v>150</v>
      </c>
      <c r="B39" s="154">
        <f t="shared" ref="B39:Q39" si="17">(B38/$R38)*100</f>
        <v>7.7134945333289764</v>
      </c>
      <c r="C39" s="154">
        <f t="shared" si="17"/>
        <v>3.7225538502008519</v>
      </c>
      <c r="D39" s="154">
        <f t="shared" si="17"/>
        <v>13.559457471876108</v>
      </c>
      <c r="E39" s="154">
        <f t="shared" si="17"/>
        <v>0.26256723176042629</v>
      </c>
      <c r="F39" s="154">
        <f t="shared" si="17"/>
        <v>15.050624674222618</v>
      </c>
      <c r="G39" s="154">
        <f t="shared" si="17"/>
        <v>9.4376998060079167</v>
      </c>
      <c r="H39" s="154">
        <f t="shared" si="17"/>
        <v>40.650554338970466</v>
      </c>
      <c r="I39" s="154">
        <f t="shared" si="17"/>
        <v>2.2495933534872692</v>
      </c>
      <c r="J39" s="154">
        <f t="shared" si="17"/>
        <v>0.153064539648748</v>
      </c>
      <c r="K39" s="154">
        <f t="shared" si="17"/>
        <v>1.8434533012332783</v>
      </c>
      <c r="L39" s="154">
        <f t="shared" si="17"/>
        <v>4.224837992931213E-2</v>
      </c>
      <c r="M39" s="154">
        <f t="shared" si="17"/>
        <v>0.59583326853267282</v>
      </c>
      <c r="N39" s="154">
        <f t="shared" si="17"/>
        <v>0.17698516462078145</v>
      </c>
      <c r="O39" s="154">
        <f t="shared" si="17"/>
        <v>1.2442703199238438</v>
      </c>
      <c r="P39" s="154">
        <f t="shared" si="17"/>
        <v>3.0934533955327153</v>
      </c>
      <c r="Q39" s="154">
        <f t="shared" si="17"/>
        <v>0.20414637072401512</v>
      </c>
      <c r="R39" s="155">
        <f t="shared" si="16"/>
        <v>100.00000000000003</v>
      </c>
      <c r="S39" s="26"/>
    </row>
    <row r="40" spans="1:19" ht="52.5" thickTop="1" thickBot="1">
      <c r="A40" s="73" t="s">
        <v>151</v>
      </c>
      <c r="B40" s="152">
        <v>158897.190757</v>
      </c>
      <c r="C40" s="152">
        <v>74930.278756</v>
      </c>
      <c r="D40" s="152">
        <v>285444.26725999999</v>
      </c>
      <c r="E40" s="152">
        <v>4480.0795740000003</v>
      </c>
      <c r="F40" s="152">
        <v>384065.07004000002</v>
      </c>
      <c r="G40" s="152">
        <v>196396.97974899999</v>
      </c>
      <c r="H40" s="152">
        <v>738041.44474900002</v>
      </c>
      <c r="I40" s="152">
        <v>42737.530128999999</v>
      </c>
      <c r="J40" s="152">
        <v>2930.8217049999998</v>
      </c>
      <c r="K40" s="152">
        <v>37020.290666000001</v>
      </c>
      <c r="L40" s="152">
        <v>657.87343499999997</v>
      </c>
      <c r="M40" s="152">
        <v>5716.5720579999997</v>
      </c>
      <c r="N40" s="152">
        <v>6624.3281440000001</v>
      </c>
      <c r="O40" s="152">
        <v>83075.102658999996</v>
      </c>
      <c r="P40" s="152">
        <v>58087.202088999999</v>
      </c>
      <c r="Q40" s="152">
        <v>1973.240499</v>
      </c>
      <c r="R40" s="156">
        <f t="shared" si="16"/>
        <v>2081078.2722690001</v>
      </c>
      <c r="S40" s="26"/>
    </row>
    <row r="41" spans="1:19" ht="39.75" thickTop="1" thickBot="1">
      <c r="A41" s="73" t="s">
        <v>152</v>
      </c>
      <c r="B41" s="154">
        <f>(B40/$R40)*100</f>
        <v>7.6353298611759737</v>
      </c>
      <c r="C41" s="154">
        <f t="shared" ref="C41:Q41" si="18">(C40/$R40)*100</f>
        <v>3.6005507219247215</v>
      </c>
      <c r="D41" s="154">
        <f t="shared" si="18"/>
        <v>13.716171614668776</v>
      </c>
      <c r="E41" s="154">
        <f t="shared" si="18"/>
        <v>0.21527684151520973</v>
      </c>
      <c r="F41" s="154">
        <f t="shared" si="18"/>
        <v>18.455099702773495</v>
      </c>
      <c r="G41" s="154">
        <f t="shared" si="18"/>
        <v>9.4372702058374927</v>
      </c>
      <c r="H41" s="154">
        <f t="shared" si="18"/>
        <v>35.464377029140444</v>
      </c>
      <c r="I41" s="154">
        <f t="shared" si="18"/>
        <v>2.0536243493813071</v>
      </c>
      <c r="J41" s="154">
        <f t="shared" si="18"/>
        <v>0.14083188239741334</v>
      </c>
      <c r="K41" s="154">
        <f t="shared" si="18"/>
        <v>1.7788994849115776</v>
      </c>
      <c r="L41" s="154">
        <f t="shared" si="18"/>
        <v>3.161214278993555E-2</v>
      </c>
      <c r="M41" s="154">
        <f t="shared" si="18"/>
        <v>0.2746927943160552</v>
      </c>
      <c r="N41" s="154">
        <f t="shared" si="18"/>
        <v>0.31831230147713252</v>
      </c>
      <c r="O41" s="154">
        <f t="shared" si="18"/>
        <v>3.9919259052386913</v>
      </c>
      <c r="P41" s="154">
        <f t="shared" si="18"/>
        <v>2.7912069845247824</v>
      </c>
      <c r="Q41" s="154">
        <f t="shared" si="18"/>
        <v>9.4818177926992403E-2</v>
      </c>
      <c r="R41" s="155">
        <f t="shared" si="16"/>
        <v>100</v>
      </c>
      <c r="S41" s="26"/>
    </row>
    <row r="42" spans="1:19" ht="52.5" thickTop="1" thickBot="1">
      <c r="A42" s="73" t="s">
        <v>153</v>
      </c>
      <c r="B42" s="152">
        <v>147153.98192699999</v>
      </c>
      <c r="C42" s="152">
        <v>71199.783165000001</v>
      </c>
      <c r="D42" s="152">
        <v>265847.35024499998</v>
      </c>
      <c r="E42" s="152">
        <v>4405.2175450000004</v>
      </c>
      <c r="F42" s="152">
        <v>338278.60243199999</v>
      </c>
      <c r="G42" s="152">
        <v>192843.170533</v>
      </c>
      <c r="H42" s="152">
        <v>654960.81116699998</v>
      </c>
      <c r="I42" s="152">
        <v>34501.833937000003</v>
      </c>
      <c r="J42" s="152">
        <v>2450.5069760000001</v>
      </c>
      <c r="K42" s="152">
        <v>32167.372232000002</v>
      </c>
      <c r="L42" s="152">
        <v>572.04607599999997</v>
      </c>
      <c r="M42" s="152">
        <v>3095.3871220000001</v>
      </c>
      <c r="N42" s="152">
        <v>15492.403689999999</v>
      </c>
      <c r="O42" s="152">
        <v>105671.29307299999</v>
      </c>
      <c r="P42" s="152">
        <v>39790.632706999997</v>
      </c>
      <c r="Q42" s="152">
        <v>17.140573</v>
      </c>
      <c r="R42" s="156">
        <f>SUM(B42:Q42)</f>
        <v>1908447.5334000003</v>
      </c>
      <c r="S42" s="26"/>
    </row>
    <row r="43" spans="1:19" ht="39.75" thickTop="1" thickBot="1">
      <c r="A43" s="73" t="s">
        <v>154</v>
      </c>
      <c r="B43" s="154">
        <f>(B42/$R42)*100</f>
        <v>7.7106642625295221</v>
      </c>
      <c r="C43" s="154">
        <f t="shared" ref="C43:P43" si="19">(C42/$R42)*100</f>
        <v>3.7307697444610288</v>
      </c>
      <c r="D43" s="154">
        <f t="shared" si="19"/>
        <v>13.930031902495053</v>
      </c>
      <c r="E43" s="154">
        <f t="shared" si="19"/>
        <v>0.2308272807034874</v>
      </c>
      <c r="F43" s="154">
        <f t="shared" si="19"/>
        <v>17.725328913252266</v>
      </c>
      <c r="G43" s="154">
        <f t="shared" si="19"/>
        <v>10.104714285199115</v>
      </c>
      <c r="H43" s="154">
        <f t="shared" si="19"/>
        <v>34.319036793228086</v>
      </c>
      <c r="I43" s="154">
        <f t="shared" si="19"/>
        <v>1.807848176760362</v>
      </c>
      <c r="J43" s="154">
        <f t="shared" si="19"/>
        <v>0.12840316189538059</v>
      </c>
      <c r="K43" s="154">
        <f t="shared" si="19"/>
        <v>1.6855256258835747</v>
      </c>
      <c r="L43" s="154">
        <f t="shared" si="19"/>
        <v>2.9974419835418247E-2</v>
      </c>
      <c r="M43" s="154">
        <f t="shared" si="19"/>
        <v>0.16219398583546094</v>
      </c>
      <c r="N43" s="154">
        <f t="shared" si="19"/>
        <v>0.81178043508481801</v>
      </c>
      <c r="O43" s="154">
        <f t="shared" si="19"/>
        <v>5.5370289842205409</v>
      </c>
      <c r="P43" s="154">
        <f t="shared" si="19"/>
        <v>2.0849738863981697</v>
      </c>
      <c r="Q43" s="154">
        <f>(Q42/$R42)*100</f>
        <v>8.981422176937273E-4</v>
      </c>
      <c r="R43" s="155">
        <f t="shared" si="16"/>
        <v>99.999999999999957</v>
      </c>
      <c r="S43" s="26"/>
    </row>
    <row r="44" spans="1:19" ht="52.5" thickTop="1" thickBot="1">
      <c r="A44" s="73" t="s">
        <v>559</v>
      </c>
      <c r="B44" s="152">
        <v>168152.96329399999</v>
      </c>
      <c r="C44" s="152">
        <v>106900.387756</v>
      </c>
      <c r="D44" s="152">
        <v>285870.90985699999</v>
      </c>
      <c r="E44" s="152">
        <v>5326.5830999999998</v>
      </c>
      <c r="F44" s="152">
        <v>382098.31901799998</v>
      </c>
      <c r="G44" s="152">
        <v>204478.95342500001</v>
      </c>
      <c r="H44" s="152">
        <v>7600352.6689029997</v>
      </c>
      <c r="I44" s="152">
        <v>29547.731526</v>
      </c>
      <c r="J44" s="152">
        <v>2700.678261</v>
      </c>
      <c r="K44" s="152">
        <v>41373.571471000003</v>
      </c>
      <c r="L44" s="152">
        <v>634.39313600000003</v>
      </c>
      <c r="M44" s="152">
        <v>3353.7868859999999</v>
      </c>
      <c r="N44" s="152">
        <v>15152.331436</v>
      </c>
      <c r="O44" s="152">
        <v>134483.991481</v>
      </c>
      <c r="P44" s="152">
        <v>19.032454000000001</v>
      </c>
      <c r="Q44" s="152">
        <v>44992.367336000003</v>
      </c>
      <c r="R44" s="156">
        <f t="shared" ref="R44:R51" si="20">SUM(B44:Q44)</f>
        <v>9025438.6693400014</v>
      </c>
      <c r="S44" s="26"/>
    </row>
    <row r="45" spans="1:19" ht="39.75" thickTop="1" thickBot="1">
      <c r="A45" s="73" t="s">
        <v>560</v>
      </c>
      <c r="B45" s="154">
        <v>1.8631001711332487</v>
      </c>
      <c r="C45" s="154">
        <v>1.1844342604548135</v>
      </c>
      <c r="D45" s="154">
        <v>3.1673907532951495</v>
      </c>
      <c r="E45" s="154">
        <v>5.9017442754275722E-2</v>
      </c>
      <c r="F45" s="154">
        <v>4.233570610988834</v>
      </c>
      <c r="G45" s="154">
        <v>2.2655846537368673</v>
      </c>
      <c r="H45" s="154">
        <v>84.210340874863945</v>
      </c>
      <c r="I45" s="154">
        <v>0.32738277449466863</v>
      </c>
      <c r="J45" s="154">
        <v>2.9922958428318599E-2</v>
      </c>
      <c r="K45" s="154">
        <v>0.45841064336904425</v>
      </c>
      <c r="L45" s="154">
        <v>7.028945176427541E-3</v>
      </c>
      <c r="M45" s="154">
        <v>3.7159267364954021E-2</v>
      </c>
      <c r="N45" s="154">
        <v>0.16788470888925819</v>
      </c>
      <c r="O45" s="154">
        <v>1.4900549037893396</v>
      </c>
      <c r="P45" s="154">
        <v>2.1087566707039379E-4</v>
      </c>
      <c r="Q45" s="154">
        <v>0.4985061555937661</v>
      </c>
      <c r="R45" s="155">
        <f t="shared" si="20"/>
        <v>99.999999999999986</v>
      </c>
      <c r="S45" s="26"/>
    </row>
    <row r="46" spans="1:19" ht="52.5" thickTop="1" thickBot="1">
      <c r="A46" s="73" t="s">
        <v>155</v>
      </c>
      <c r="B46" s="152">
        <v>135770.98035500001</v>
      </c>
      <c r="C46" s="152">
        <v>89763.239176999996</v>
      </c>
      <c r="D46" s="152">
        <v>225083.058402</v>
      </c>
      <c r="E46" s="152">
        <v>5180.6567429999996</v>
      </c>
      <c r="F46" s="152">
        <v>303444.49371900002</v>
      </c>
      <c r="G46" s="152">
        <v>156969.132273</v>
      </c>
      <c r="H46" s="152">
        <v>6438440.1828039996</v>
      </c>
      <c r="I46" s="152">
        <v>29325.738474000002</v>
      </c>
      <c r="J46" s="152">
        <v>1900.3902780000001</v>
      </c>
      <c r="K46" s="152">
        <v>30102.014522000001</v>
      </c>
      <c r="L46" s="152">
        <v>697.54783799999996</v>
      </c>
      <c r="M46" s="152">
        <v>2100.0920040000001</v>
      </c>
      <c r="N46" s="152">
        <v>11634.641419</v>
      </c>
      <c r="O46" s="152">
        <v>102861.378897</v>
      </c>
      <c r="P46" s="152">
        <v>1585.364456</v>
      </c>
      <c r="Q46" s="152">
        <v>27109.454341000001</v>
      </c>
      <c r="R46" s="156">
        <f t="shared" si="20"/>
        <v>7561968.3657020004</v>
      </c>
      <c r="S46" s="26"/>
    </row>
    <row r="47" spans="1:19" ht="39.75" thickTop="1" thickBot="1">
      <c r="A47" s="73" t="s">
        <v>156</v>
      </c>
      <c r="B47" s="154">
        <v>1.7954449660329406</v>
      </c>
      <c r="C47" s="154">
        <v>1.1870353701045535</v>
      </c>
      <c r="D47" s="154">
        <v>2.9765141497137808</v>
      </c>
      <c r="E47" s="154">
        <v>6.8509368096504375E-2</v>
      </c>
      <c r="F47" s="154">
        <v>4.0127712659484311</v>
      </c>
      <c r="G47" s="154">
        <v>2.0757708136541257</v>
      </c>
      <c r="H47" s="154">
        <v>85.142384514673907</v>
      </c>
      <c r="I47" s="154">
        <v>0.38780562223732079</v>
      </c>
      <c r="J47" s="154">
        <v>2.513089431343556E-2</v>
      </c>
      <c r="K47" s="154">
        <v>0.39807115113745306</v>
      </c>
      <c r="L47" s="154">
        <v>9.2244215297671971E-3</v>
      </c>
      <c r="M47" s="154">
        <v>2.7771763943435147E-2</v>
      </c>
      <c r="N47" s="154">
        <v>0.15385731407936035</v>
      </c>
      <c r="O47" s="154">
        <v>1.3602460883536249</v>
      </c>
      <c r="P47" s="154">
        <v>2.0964970750083613E-2</v>
      </c>
      <c r="Q47" s="154">
        <v>0.35849732543126483</v>
      </c>
      <c r="R47" s="155">
        <f t="shared" si="20"/>
        <v>99.999999999999986</v>
      </c>
      <c r="S47" s="26"/>
    </row>
    <row r="48" spans="1:19" ht="52.5" thickTop="1" thickBot="1">
      <c r="A48" s="73" t="s">
        <v>157</v>
      </c>
      <c r="B48" s="152">
        <v>146023.316311</v>
      </c>
      <c r="C48" s="152">
        <v>100377.961515</v>
      </c>
      <c r="D48" s="152">
        <v>250911.196127</v>
      </c>
      <c r="E48" s="152">
        <v>4885.6051420000003</v>
      </c>
      <c r="F48" s="152">
        <v>523967.18613300001</v>
      </c>
      <c r="G48" s="152">
        <v>168168.46507199999</v>
      </c>
      <c r="H48" s="152">
        <v>6796188.7898960002</v>
      </c>
      <c r="I48" s="152">
        <v>32795.141984000002</v>
      </c>
      <c r="J48" s="152">
        <v>2190.5563189999998</v>
      </c>
      <c r="K48" s="152">
        <v>34030.441826000002</v>
      </c>
      <c r="L48" s="152">
        <v>662.54965200000004</v>
      </c>
      <c r="M48" s="152">
        <v>2163.812938</v>
      </c>
      <c r="N48" s="152">
        <v>8503.4891869999992</v>
      </c>
      <c r="O48" s="152">
        <v>124304.364181</v>
      </c>
      <c r="P48" s="152">
        <v>35075.585103999998</v>
      </c>
      <c r="Q48" s="152">
        <v>1582.5548650000001</v>
      </c>
      <c r="R48" s="156">
        <f t="shared" si="20"/>
        <v>8231831.0162519999</v>
      </c>
      <c r="S48" s="26"/>
    </row>
    <row r="49" spans="1:19" ht="39.75" thickTop="1" thickBot="1">
      <c r="A49" s="73" t="s">
        <v>158</v>
      </c>
      <c r="B49" s="154">
        <v>1.7738862231587118</v>
      </c>
      <c r="C49" s="154">
        <v>1.2193880233550114</v>
      </c>
      <c r="D49" s="154">
        <v>3.0480605788873607</v>
      </c>
      <c r="E49" s="154">
        <v>5.9350163194001583E-2</v>
      </c>
      <c r="F49" s="154">
        <v>6.3651353520078127</v>
      </c>
      <c r="G49" s="154">
        <v>2.0429047284861301</v>
      </c>
      <c r="H49" s="154">
        <v>82.559867622141056</v>
      </c>
      <c r="I49" s="154">
        <v>0.39839425662714611</v>
      </c>
      <c r="J49" s="154">
        <v>2.6610802805295833E-2</v>
      </c>
      <c r="K49" s="154">
        <v>0.41340063661188053</v>
      </c>
      <c r="L49" s="154">
        <v>8.0486303799475068E-3</v>
      </c>
      <c r="M49" s="154">
        <v>2.628592513291407E-2</v>
      </c>
      <c r="N49" s="154">
        <v>0.10330009411286102</v>
      </c>
      <c r="O49" s="154">
        <v>1.5100451398429762</v>
      </c>
      <c r="P49" s="154">
        <v>0.42609700119876992</v>
      </c>
      <c r="Q49" s="154">
        <v>1.9224822058125125E-2</v>
      </c>
      <c r="R49" s="155">
        <f t="shared" si="20"/>
        <v>99.999999999999986</v>
      </c>
      <c r="S49" s="26"/>
    </row>
    <row r="50" spans="1:19" ht="52.5" thickTop="1" thickBot="1">
      <c r="A50" s="73" t="s">
        <v>159</v>
      </c>
      <c r="B50" s="152">
        <v>174418.59110399999</v>
      </c>
      <c r="C50" s="152">
        <v>122725.618783</v>
      </c>
      <c r="D50" s="152">
        <v>289361.063012</v>
      </c>
      <c r="E50" s="152">
        <v>6140.3618340000003</v>
      </c>
      <c r="F50" s="152">
        <v>577161.38520699996</v>
      </c>
      <c r="G50" s="152">
        <v>190446.26102400001</v>
      </c>
      <c r="H50" s="152">
        <v>7482726.3346840004</v>
      </c>
      <c r="I50" s="152">
        <v>47986.101938</v>
      </c>
      <c r="J50" s="152">
        <v>2486.2341670000001</v>
      </c>
      <c r="K50" s="152">
        <v>39852.301461000003</v>
      </c>
      <c r="L50" s="152">
        <v>309.15256499999998</v>
      </c>
      <c r="M50" s="152">
        <v>2019.6161420000001</v>
      </c>
      <c r="N50" s="152">
        <v>7884.1866810000001</v>
      </c>
      <c r="O50" s="152">
        <v>145058.63004799999</v>
      </c>
      <c r="P50" s="152">
        <v>40063.698096</v>
      </c>
      <c r="Q50" s="152">
        <v>1547.0524479999999</v>
      </c>
      <c r="R50" s="156">
        <f>SUM(B50:Q50)</f>
        <v>9130186.5891940016</v>
      </c>
      <c r="S50" s="26"/>
    </row>
    <row r="51" spans="1:19" ht="39.75" thickTop="1" thickBot="1">
      <c r="A51" s="73" t="s">
        <v>160</v>
      </c>
      <c r="B51" s="154">
        <v>1.910350784182576</v>
      </c>
      <c r="C51" s="154">
        <v>1.3441742683358897</v>
      </c>
      <c r="D51" s="154">
        <v>3.1692787456772482</v>
      </c>
      <c r="E51" s="154">
        <v>6.7253410146813464E-2</v>
      </c>
      <c r="F51" s="154">
        <v>6.3214631986831149</v>
      </c>
      <c r="G51" s="154">
        <v>2.0858967028056354</v>
      </c>
      <c r="H51" s="154">
        <v>81.955897194260558</v>
      </c>
      <c r="I51" s="154">
        <v>0.52557635563323279</v>
      </c>
      <c r="J51" s="154">
        <v>2.7230923954419214E-2</v>
      </c>
      <c r="K51" s="154">
        <v>0.43648945256132049</v>
      </c>
      <c r="L51" s="154">
        <v>3.3860487075466385E-3</v>
      </c>
      <c r="M51" s="154">
        <v>2.2120206660292234E-2</v>
      </c>
      <c r="N51" s="154">
        <v>8.6352963370226188E-2</v>
      </c>
      <c r="O51" s="154">
        <v>1.5887805646785313</v>
      </c>
      <c r="P51" s="154">
        <v>0.43880481197851134</v>
      </c>
      <c r="Q51" s="154">
        <v>1.6944368364070546E-2</v>
      </c>
      <c r="R51" s="155">
        <f t="shared" si="20"/>
        <v>99.999999999999972</v>
      </c>
      <c r="S51" s="26"/>
    </row>
    <row r="52" spans="1:19" ht="52.5" thickTop="1" thickBot="1">
      <c r="A52" s="73" t="s">
        <v>561</v>
      </c>
      <c r="B52" s="152">
        <v>186952.65680500001</v>
      </c>
      <c r="C52" s="152">
        <v>122970.637443</v>
      </c>
      <c r="D52" s="152">
        <v>301026.94235700002</v>
      </c>
      <c r="E52" s="152">
        <v>6196.4156819999998</v>
      </c>
      <c r="F52" s="152">
        <v>630011.38719200005</v>
      </c>
      <c r="G52" s="152">
        <v>211791.01256999999</v>
      </c>
      <c r="H52" s="152">
        <v>7335982.1534409998</v>
      </c>
      <c r="I52" s="152">
        <v>52354.615682000003</v>
      </c>
      <c r="J52" s="152">
        <v>2610.6025519999998</v>
      </c>
      <c r="K52" s="152">
        <v>42704.223318999997</v>
      </c>
      <c r="L52" s="152">
        <v>229.17848699999999</v>
      </c>
      <c r="M52" s="152">
        <v>1946.9123079999999</v>
      </c>
      <c r="N52" s="152">
        <v>6350.95795</v>
      </c>
      <c r="O52" s="152">
        <v>159481.33907799999</v>
      </c>
      <c r="P52" s="152">
        <v>746.56741699999998</v>
      </c>
      <c r="Q52" s="152">
        <v>39811.212345</v>
      </c>
      <c r="R52" s="156">
        <f t="shared" ref="R52:R59" si="21">SUM(B52:Q52)</f>
        <v>9101166.8146279994</v>
      </c>
      <c r="S52" s="26"/>
    </row>
    <row r="53" spans="1:19" ht="39.75" thickTop="1" thickBot="1">
      <c r="A53" s="73" t="s">
        <v>562</v>
      </c>
      <c r="B53" s="154">
        <v>2.0541614126280741</v>
      </c>
      <c r="C53" s="154">
        <v>1.3511524395460308</v>
      </c>
      <c r="D53" s="154">
        <v>3.3075642770679639</v>
      </c>
      <c r="E53" s="154">
        <v>6.8083750229044365E-2</v>
      </c>
      <c r="F53" s="154">
        <v>6.9223144682877793</v>
      </c>
      <c r="G53" s="154">
        <v>2.3270753836705356</v>
      </c>
      <c r="H53" s="154">
        <v>80.604853233215351</v>
      </c>
      <c r="I53" s="154">
        <v>0.57525168748530342</v>
      </c>
      <c r="J53" s="154">
        <v>2.8684262195964438E-2</v>
      </c>
      <c r="K53" s="154">
        <v>0.46921701567279195</v>
      </c>
      <c r="L53" s="154">
        <v>2.5181220349862077E-3</v>
      </c>
      <c r="M53" s="154">
        <v>2.139189784842525E-2</v>
      </c>
      <c r="N53" s="154">
        <v>6.9781799184169643E-2</v>
      </c>
      <c r="O53" s="154">
        <v>1.7523175030884062</v>
      </c>
      <c r="P53" s="154">
        <v>8.2029857512343051E-3</v>
      </c>
      <c r="Q53" s="154">
        <v>0.43742976209394135</v>
      </c>
      <c r="R53" s="155">
        <f t="shared" si="21"/>
        <v>100.00000000000003</v>
      </c>
      <c r="S53" s="26"/>
    </row>
    <row r="54" spans="1:19" ht="52.5" thickTop="1" thickBot="1">
      <c r="A54" s="73" t="s">
        <v>161</v>
      </c>
      <c r="B54" s="152">
        <v>215491.24987</v>
      </c>
      <c r="C54" s="152">
        <v>136038.11795399999</v>
      </c>
      <c r="D54" s="152">
        <v>336548.56644099997</v>
      </c>
      <c r="E54" s="152">
        <v>7084.4835970000004</v>
      </c>
      <c r="F54" s="152">
        <v>729292.143836</v>
      </c>
      <c r="G54" s="152">
        <v>233085.51298100001</v>
      </c>
      <c r="H54" s="152">
        <v>7609841.3057880001</v>
      </c>
      <c r="I54" s="152">
        <v>71813.678532000005</v>
      </c>
      <c r="J54" s="152">
        <v>3100.0499009999999</v>
      </c>
      <c r="K54" s="152">
        <v>46937.761361999997</v>
      </c>
      <c r="L54" s="152">
        <v>264.34623599999998</v>
      </c>
      <c r="M54" s="152">
        <v>2027.7912260000001</v>
      </c>
      <c r="N54" s="152">
        <v>7287.6361420000003</v>
      </c>
      <c r="O54" s="152">
        <v>189741.92207599999</v>
      </c>
      <c r="P54" s="152">
        <v>42447.342076000001</v>
      </c>
      <c r="Q54" s="152">
        <v>17.231771999999999</v>
      </c>
      <c r="R54" s="156">
        <f t="shared" si="21"/>
        <v>9631019.1397899985</v>
      </c>
      <c r="S54" s="40"/>
    </row>
    <row r="55" spans="1:19" ht="39.75" thickTop="1" thickBot="1">
      <c r="A55" s="73" t="s">
        <v>162</v>
      </c>
      <c r="B55" s="154">
        <f>(B54/$R$54)*100</f>
        <v>2.2374708921479596</v>
      </c>
      <c r="C55" s="154">
        <f>(C54/$R$54)*100</f>
        <v>1.4124997155489638</v>
      </c>
      <c r="D55" s="154">
        <f t="shared" ref="D55:P55" si="22">(D54/$R$54)*100</f>
        <v>3.4944231919399793</v>
      </c>
      <c r="E55" s="154">
        <f t="shared" si="22"/>
        <v>7.3559023133189155E-2</v>
      </c>
      <c r="F55" s="154">
        <f t="shared" si="22"/>
        <v>7.5723257658472685</v>
      </c>
      <c r="G55" s="154">
        <f t="shared" si="22"/>
        <v>2.4201541871931362</v>
      </c>
      <c r="H55" s="154">
        <f t="shared" si="22"/>
        <v>79.013873769063352</v>
      </c>
      <c r="I55" s="154">
        <f t="shared" si="22"/>
        <v>0.74564983715280919</v>
      </c>
      <c r="J55" s="154">
        <f t="shared" si="22"/>
        <v>3.218818129217834E-2</v>
      </c>
      <c r="K55" s="154">
        <f t="shared" si="22"/>
        <v>0.4873602749690254</v>
      </c>
      <c r="L55" s="154">
        <f t="shared" si="22"/>
        <v>2.7447379364855459E-3</v>
      </c>
      <c r="M55" s="154">
        <f t="shared" si="22"/>
        <v>2.1054793854809177E-2</v>
      </c>
      <c r="N55" s="154">
        <f t="shared" si="22"/>
        <v>7.566837980719561E-2</v>
      </c>
      <c r="O55" s="154">
        <f t="shared" si="22"/>
        <v>1.9701126051353404</v>
      </c>
      <c r="P55" s="154">
        <f t="shared" si="22"/>
        <v>0.44073572547095519</v>
      </c>
      <c r="Q55" s="154">
        <f>(Q54/$R$54)*100</f>
        <v>1.7891950737391779E-4</v>
      </c>
      <c r="R55" s="155">
        <f t="shared" si="21"/>
        <v>100.00000000000004</v>
      </c>
      <c r="S55" s="26"/>
    </row>
    <row r="56" spans="1:19" ht="52.5" thickTop="1" thickBot="1">
      <c r="A56" s="73" t="s">
        <v>163</v>
      </c>
      <c r="B56" s="152">
        <v>241124.746969</v>
      </c>
      <c r="C56" s="152">
        <v>143471.728546</v>
      </c>
      <c r="D56" s="152">
        <v>388649.897635</v>
      </c>
      <c r="E56" s="152">
        <v>6786.058833</v>
      </c>
      <c r="F56" s="152">
        <v>800718.02419000003</v>
      </c>
      <c r="G56" s="152">
        <v>260454.313479</v>
      </c>
      <c r="H56" s="152">
        <v>7476230.1346610002</v>
      </c>
      <c r="I56" s="152">
        <v>77391.298383999994</v>
      </c>
      <c r="J56" s="152">
        <v>3302.7443119999998</v>
      </c>
      <c r="K56" s="152">
        <v>47013.197211999999</v>
      </c>
      <c r="L56" s="152">
        <v>297.19268699999998</v>
      </c>
      <c r="M56" s="152">
        <v>2257.8188180000002</v>
      </c>
      <c r="N56" s="152">
        <v>7890.7358969999996</v>
      </c>
      <c r="O56" s="152">
        <v>216733.05601299999</v>
      </c>
      <c r="P56" s="152">
        <v>49278.839639999998</v>
      </c>
      <c r="Q56" s="152">
        <v>18.807600999999998</v>
      </c>
      <c r="R56" s="156">
        <f t="shared" si="21"/>
        <v>9721618.5948769972</v>
      </c>
      <c r="S56" s="40"/>
    </row>
    <row r="57" spans="1:19" ht="39.75" thickTop="1" thickBot="1">
      <c r="A57" s="73" t="s">
        <v>164</v>
      </c>
      <c r="B57" s="154">
        <f>(B56/$R$56)*100</f>
        <v>2.480294249519988</v>
      </c>
      <c r="C57" s="154">
        <f t="shared" ref="C57:P57" si="23">(C56/$R$56)*100</f>
        <v>1.475800836515077</v>
      </c>
      <c r="D57" s="154">
        <f t="shared" si="23"/>
        <v>3.9977900165699451</v>
      </c>
      <c r="E57" s="154">
        <f t="shared" si="23"/>
        <v>6.9803796217391717E-2</v>
      </c>
      <c r="F57" s="154">
        <f t="shared" si="23"/>
        <v>8.2364682010046604</v>
      </c>
      <c r="G57" s="154">
        <f t="shared" si="23"/>
        <v>2.6791249927892835</v>
      </c>
      <c r="H57" s="154">
        <f t="shared" si="23"/>
        <v>76.903141814273084</v>
      </c>
      <c r="I57" s="154">
        <f t="shared" si="23"/>
        <v>0.79607420954348995</v>
      </c>
      <c r="J57" s="154">
        <f t="shared" si="23"/>
        <v>3.3973193658723123E-2</v>
      </c>
      <c r="K57" s="154">
        <f t="shared" si="23"/>
        <v>0.48359433928805384</v>
      </c>
      <c r="L57" s="154">
        <f t="shared" si="23"/>
        <v>3.0570288692112614E-3</v>
      </c>
      <c r="M57" s="154">
        <f t="shared" si="23"/>
        <v>2.3224721233044497E-2</v>
      </c>
      <c r="N57" s="154">
        <f t="shared" si="23"/>
        <v>8.1166894380717447E-2</v>
      </c>
      <c r="O57" s="154">
        <f t="shared" si="23"/>
        <v>2.2293927075807298</v>
      </c>
      <c r="P57" s="154">
        <f t="shared" si="23"/>
        <v>0.50689953693481116</v>
      </c>
      <c r="Q57" s="154">
        <f>(Q56/$R$56)*100</f>
        <v>1.934616218117325E-4</v>
      </c>
      <c r="R57" s="155">
        <f t="shared" si="21"/>
        <v>100.00000000000001</v>
      </c>
      <c r="S57" s="26"/>
    </row>
    <row r="58" spans="1:19" ht="52.5" thickTop="1" thickBot="1">
      <c r="A58" s="73" t="s">
        <v>165</v>
      </c>
      <c r="B58" s="152">
        <v>245789.77919228</v>
      </c>
      <c r="C58" s="152">
        <v>158663.48243057998</v>
      </c>
      <c r="D58" s="152">
        <v>400546.49880189</v>
      </c>
      <c r="E58" s="152">
        <v>9993.7650722099988</v>
      </c>
      <c r="F58" s="152">
        <v>857587.42197079002</v>
      </c>
      <c r="G58" s="152">
        <v>278300.98109490005</v>
      </c>
      <c r="H58" s="152">
        <v>7685219.0039112307</v>
      </c>
      <c r="I58" s="152">
        <v>84882.676670100002</v>
      </c>
      <c r="J58" s="152">
        <v>3413.0972175900001</v>
      </c>
      <c r="K58" s="152">
        <v>47638.43420602</v>
      </c>
      <c r="L58" s="152">
        <v>180.22552096000001</v>
      </c>
      <c r="M58" s="152">
        <v>2284.1702194099998</v>
      </c>
      <c r="N58" s="152">
        <v>7647.9821284300006</v>
      </c>
      <c r="O58" s="152">
        <v>235740.19431632999</v>
      </c>
      <c r="P58" s="152">
        <v>53107.559244199998</v>
      </c>
      <c r="Q58" s="152">
        <v>24.318934199999998</v>
      </c>
      <c r="R58" s="156">
        <f t="shared" si="21"/>
        <v>10071019.590931121</v>
      </c>
      <c r="S58" s="40"/>
    </row>
    <row r="59" spans="1:19" ht="39.75" thickTop="1" thickBot="1">
      <c r="A59" s="73" t="s">
        <v>166</v>
      </c>
      <c r="B59" s="154">
        <v>2.440564999134863</v>
      </c>
      <c r="C59" s="154">
        <v>1.5754460707578732</v>
      </c>
      <c r="D59" s="154">
        <v>3.9772189417899568</v>
      </c>
      <c r="E59" s="154">
        <v>9.9232902706388446E-2</v>
      </c>
      <c r="F59" s="154">
        <v>8.5153982099592103</v>
      </c>
      <c r="G59" s="154">
        <v>2.7633843682074457</v>
      </c>
      <c r="H59" s="154">
        <v>76.310237851505264</v>
      </c>
      <c r="I59" s="154">
        <v>0.84284094478910776</v>
      </c>
      <c r="J59" s="154">
        <v>3.3890284759881401E-2</v>
      </c>
      <c r="K59" s="154">
        <v>0.47302493829838299</v>
      </c>
      <c r="L59" s="154">
        <v>1.7895459276267497E-3</v>
      </c>
      <c r="M59" s="154">
        <v>2.2680625320865011E-2</v>
      </c>
      <c r="N59" s="154">
        <v>7.5940494995332466E-2</v>
      </c>
      <c r="O59" s="154">
        <v>2.3407778347349488</v>
      </c>
      <c r="P59" s="154">
        <v>0.52733051271216824</v>
      </c>
      <c r="Q59" s="154">
        <v>2.4147440068430625E-4</v>
      </c>
      <c r="R59" s="155">
        <f t="shared" si="21"/>
        <v>99.999999999999986</v>
      </c>
      <c r="S59" s="26"/>
    </row>
    <row r="60" spans="1:19" ht="52.5" thickTop="1" thickBot="1">
      <c r="A60" s="73" t="s">
        <v>563</v>
      </c>
      <c r="B60" s="152">
        <v>246216.50892399999</v>
      </c>
      <c r="C60" s="152">
        <v>161188.76757</v>
      </c>
      <c r="D60" s="152">
        <v>385004.454134</v>
      </c>
      <c r="E60" s="152">
        <v>8438.3987560000005</v>
      </c>
      <c r="F60" s="152">
        <v>857216.59025000001</v>
      </c>
      <c r="G60" s="152">
        <v>275243.78209300002</v>
      </c>
      <c r="H60" s="152">
        <v>7645338.8244350003</v>
      </c>
      <c r="I60" s="152">
        <v>71164.884019999998</v>
      </c>
      <c r="J60" s="152">
        <v>3199.709331</v>
      </c>
      <c r="K60" s="152">
        <v>49630.209149000002</v>
      </c>
      <c r="L60" s="152">
        <v>178.08261100000001</v>
      </c>
      <c r="M60" s="152">
        <v>2108.8708259999999</v>
      </c>
      <c r="N60" s="152">
        <v>7542.0659470000001</v>
      </c>
      <c r="O60" s="152">
        <v>245903.35413699999</v>
      </c>
      <c r="P60" s="152">
        <v>49664.637867999998</v>
      </c>
      <c r="Q60" s="152">
        <v>22.010408000000002</v>
      </c>
      <c r="R60" s="156">
        <f t="shared" ref="R60:R65" si="24">SUM(B60:Q60)</f>
        <v>10008061.150458999</v>
      </c>
      <c r="S60" s="40"/>
    </row>
    <row r="61" spans="1:19" ht="39.75" thickTop="1" thickBot="1">
      <c r="A61" s="73" t="s">
        <v>564</v>
      </c>
      <c r="B61" s="154">
        <v>2.4601818995950859</v>
      </c>
      <c r="C61" s="154">
        <v>1.6105893553878556</v>
      </c>
      <c r="D61" s="154">
        <v>3.846943462334286</v>
      </c>
      <c r="E61" s="154">
        <v>8.4316019148354127E-2</v>
      </c>
      <c r="F61" s="154">
        <v>8.5652613164807221</v>
      </c>
      <c r="G61" s="154">
        <v>2.750220826542177</v>
      </c>
      <c r="H61" s="154">
        <v>76.391807658812738</v>
      </c>
      <c r="I61" s="154">
        <v>0.71107563143472763</v>
      </c>
      <c r="J61" s="154">
        <v>3.1971320747308303E-2</v>
      </c>
      <c r="K61" s="154">
        <v>0.49590233715472271</v>
      </c>
      <c r="L61" s="154">
        <v>1.779391715565533E-3</v>
      </c>
      <c r="M61" s="154">
        <v>2.1071722027830343E-2</v>
      </c>
      <c r="N61" s="154">
        <v>7.5359910712117298E-2</v>
      </c>
      <c r="O61" s="154">
        <v>2.4570528740796327</v>
      </c>
      <c r="P61" s="154">
        <v>0.4962463470331836</v>
      </c>
      <c r="Q61" s="154">
        <v>2.1992679370259983E-4</v>
      </c>
      <c r="R61" s="155">
        <f t="shared" si="24"/>
        <v>99.999999999999986</v>
      </c>
      <c r="S61" s="26"/>
    </row>
    <row r="62" spans="1:19" ht="52.5" thickTop="1" thickBot="1">
      <c r="A62" s="73" t="s">
        <v>167</v>
      </c>
      <c r="B62" s="152">
        <v>274569.86556599999</v>
      </c>
      <c r="C62" s="152">
        <v>155391.955754</v>
      </c>
      <c r="D62" s="152">
        <v>463784.04055600002</v>
      </c>
      <c r="E62" s="152">
        <v>13179.359952000001</v>
      </c>
      <c r="F62" s="152">
        <f>1065805165263/1000000</f>
        <v>1065805.1652629999</v>
      </c>
      <c r="G62" s="152">
        <v>313804.789223</v>
      </c>
      <c r="H62" s="152">
        <v>9124327.2671760004</v>
      </c>
      <c r="I62" s="152">
        <v>99599.937854000003</v>
      </c>
      <c r="J62" s="152">
        <v>3848.01575</v>
      </c>
      <c r="K62" s="152">
        <v>56436.413127</v>
      </c>
      <c r="L62" s="152">
        <v>263.91427800000002</v>
      </c>
      <c r="M62" s="152">
        <v>2589.9099580000002</v>
      </c>
      <c r="N62" s="152">
        <v>9982.8509529999992</v>
      </c>
      <c r="O62" s="152">
        <v>317946.954317</v>
      </c>
      <c r="P62" s="152">
        <v>61828.868518000003</v>
      </c>
      <c r="Q62" s="152">
        <v>56.586218000000002</v>
      </c>
      <c r="R62" s="155">
        <f t="shared" si="24"/>
        <v>11963415.894462999</v>
      </c>
      <c r="S62" s="40"/>
    </row>
    <row r="63" spans="1:19" ht="39.75" thickTop="1" thickBot="1">
      <c r="A63" s="73" t="s">
        <v>168</v>
      </c>
      <c r="B63" s="154">
        <f t="shared" ref="B63:N63" si="25">(B62/$R$62)*100</f>
        <v>2.2950791645810669</v>
      </c>
      <c r="C63" s="154">
        <f t="shared" si="25"/>
        <v>1.2988928674286053</v>
      </c>
      <c r="D63" s="154">
        <f t="shared" si="25"/>
        <v>3.8766857613856938</v>
      </c>
      <c r="E63" s="154">
        <f t="shared" si="25"/>
        <v>0.11016385343670761</v>
      </c>
      <c r="F63" s="154">
        <f t="shared" si="25"/>
        <v>8.9088699637725064</v>
      </c>
      <c r="G63" s="154">
        <f t="shared" si="25"/>
        <v>2.6230366978066653</v>
      </c>
      <c r="H63" s="154">
        <f t="shared" si="25"/>
        <v>76.268578704172555</v>
      </c>
      <c r="I63" s="154">
        <f t="shared" si="25"/>
        <v>0.83253761912680491</v>
      </c>
      <c r="J63" s="154">
        <f t="shared" si="25"/>
        <v>3.2164858130368672E-2</v>
      </c>
      <c r="K63" s="154">
        <f t="shared" si="25"/>
        <v>0.47174162985607093</v>
      </c>
      <c r="L63" s="154">
        <f t="shared" si="25"/>
        <v>2.2060110617916984E-3</v>
      </c>
      <c r="M63" s="154">
        <f t="shared" si="25"/>
        <v>2.1648582485531431E-2</v>
      </c>
      <c r="N63" s="154">
        <f t="shared" si="25"/>
        <v>8.3444820785845447E-2</v>
      </c>
      <c r="O63" s="154">
        <f>(O62/$R$62)*100</f>
        <v>2.6576602963719975</v>
      </c>
      <c r="P63" s="154">
        <f>(P62/$R$62)*100</f>
        <v>0.51681617577648642</v>
      </c>
      <c r="Q63" s="154">
        <f>(Q62/$R$62)*100</f>
        <v>4.7299382132313624E-4</v>
      </c>
      <c r="R63" s="155">
        <f t="shared" si="24"/>
        <v>100.00000000000001</v>
      </c>
      <c r="S63" s="26"/>
    </row>
    <row r="64" spans="1:19" ht="52.5" thickTop="1" thickBot="1">
      <c r="A64" s="73" t="s">
        <v>169</v>
      </c>
      <c r="B64" s="152">
        <v>235245</v>
      </c>
      <c r="C64" s="152">
        <v>135082</v>
      </c>
      <c r="D64" s="152">
        <v>415138</v>
      </c>
      <c r="E64" s="152">
        <v>10026</v>
      </c>
      <c r="F64" s="152">
        <v>909474</v>
      </c>
      <c r="G64" s="152">
        <v>284426</v>
      </c>
      <c r="H64" s="152">
        <v>8970289</v>
      </c>
      <c r="I64" s="152">
        <v>68235</v>
      </c>
      <c r="J64" s="152">
        <v>2977</v>
      </c>
      <c r="K64" s="152">
        <v>47439</v>
      </c>
      <c r="L64" s="152">
        <v>326</v>
      </c>
      <c r="M64" s="152">
        <v>2104</v>
      </c>
      <c r="N64" s="152">
        <v>9419</v>
      </c>
      <c r="O64" s="152">
        <v>284012</v>
      </c>
      <c r="P64" s="152">
        <v>58117</v>
      </c>
      <c r="Q64" s="152">
        <v>45</v>
      </c>
      <c r="R64" s="155">
        <f t="shared" si="24"/>
        <v>11432354</v>
      </c>
      <c r="S64" s="40"/>
    </row>
    <row r="65" spans="1:23" ht="39.75" thickTop="1" thickBot="1">
      <c r="A65" s="73" t="s">
        <v>170</v>
      </c>
      <c r="B65" s="154">
        <f>(B64/$R$64)*100</f>
        <v>2.0577126985396008</v>
      </c>
      <c r="C65" s="154">
        <f t="shared" ref="C65:P65" si="26">(C64/$R$64)*100</f>
        <v>1.1815764277418281</v>
      </c>
      <c r="D65" s="154">
        <f t="shared" si="26"/>
        <v>3.6312556451628426</v>
      </c>
      <c r="E65" s="154">
        <f t="shared" si="26"/>
        <v>8.7698473997568652E-2</v>
      </c>
      <c r="F65" s="154">
        <f t="shared" si="26"/>
        <v>7.9552645063300176</v>
      </c>
      <c r="G65" s="154">
        <f t="shared" si="26"/>
        <v>2.4879040659517715</v>
      </c>
      <c r="H65" s="154">
        <f t="shared" si="26"/>
        <v>78.464059108036722</v>
      </c>
      <c r="I65" s="154">
        <f t="shared" si="26"/>
        <v>0.59685870469021518</v>
      </c>
      <c r="J65" s="154">
        <f t="shared" si="26"/>
        <v>2.6040131367520637E-2</v>
      </c>
      <c r="K65" s="154">
        <f t="shared" si="26"/>
        <v>0.41495391062942943</v>
      </c>
      <c r="L65" s="154">
        <f t="shared" si="26"/>
        <v>2.8515562061846578E-3</v>
      </c>
      <c r="M65" s="154">
        <f t="shared" si="26"/>
        <v>1.8403908766296075E-2</v>
      </c>
      <c r="N65" s="154">
        <f t="shared" si="26"/>
        <v>8.2388981306911954E-2</v>
      </c>
      <c r="O65" s="154">
        <f t="shared" si="26"/>
        <v>2.4842827645120158</v>
      </c>
      <c r="P65" s="154">
        <f t="shared" si="26"/>
        <v>0.50835549703936744</v>
      </c>
      <c r="Q65" s="154">
        <f>(Q64/$R$64)*100</f>
        <v>3.9361972171260613E-4</v>
      </c>
      <c r="R65" s="155">
        <f t="shared" si="24"/>
        <v>100</v>
      </c>
      <c r="S65" s="26"/>
    </row>
    <row r="66" spans="1:23" ht="52.5" thickTop="1" thickBot="1">
      <c r="A66" s="73" t="s">
        <v>171</v>
      </c>
      <c r="B66" s="152">
        <v>248345.639758</v>
      </c>
      <c r="C66" s="152">
        <v>145199.754388</v>
      </c>
      <c r="D66" s="152">
        <v>403001.22767300002</v>
      </c>
      <c r="E66" s="152">
        <v>8355.1306480000003</v>
      </c>
      <c r="F66" s="152">
        <v>896533.96780800004</v>
      </c>
      <c r="G66" s="152">
        <v>292179.84052600001</v>
      </c>
      <c r="H66" s="152">
        <v>8373690.4176599998</v>
      </c>
      <c r="I66" s="152">
        <v>61360.092139</v>
      </c>
      <c r="J66" s="152">
        <v>2857.834386</v>
      </c>
      <c r="K66" s="152">
        <v>47826.246579999999</v>
      </c>
      <c r="L66" s="152">
        <v>362.06910399999998</v>
      </c>
      <c r="M66" s="152">
        <v>2203.1117920000002</v>
      </c>
      <c r="N66" s="152">
        <v>9387.7257790000003</v>
      </c>
      <c r="O66" s="152">
        <v>280236.39387899998</v>
      </c>
      <c r="P66" s="152">
        <v>61231.759449999998</v>
      </c>
      <c r="Q66" s="152">
        <v>80.806113999999994</v>
      </c>
      <c r="R66" s="155">
        <f t="shared" ref="R66:R67" si="27">SUM(B66:Q66)</f>
        <v>10832852.017684001</v>
      </c>
      <c r="S66" s="40"/>
    </row>
    <row r="67" spans="1:23" ht="39.75" thickTop="1" thickBot="1">
      <c r="A67" s="73" t="s">
        <v>172</v>
      </c>
      <c r="B67" s="154">
        <f>(B66/$R$66)*100</f>
        <v>2.2925231448984085</v>
      </c>
      <c r="C67" s="154">
        <f t="shared" ref="C67:Q67" si="28">(C66/$R$66)*100</f>
        <v>1.3403649763789798</v>
      </c>
      <c r="D67" s="154">
        <f t="shared" si="28"/>
        <v>3.7201766166022012</v>
      </c>
      <c r="E67" s="154">
        <f t="shared" si="28"/>
        <v>7.7127709622182003E-2</v>
      </c>
      <c r="F67" s="154">
        <f t="shared" si="28"/>
        <v>8.2760658628444332</v>
      </c>
      <c r="G67" s="154">
        <f t="shared" si="28"/>
        <v>2.6971645144698129</v>
      </c>
      <c r="H67" s="154">
        <f t="shared" si="28"/>
        <v>77.299038184869858</v>
      </c>
      <c r="I67" s="154">
        <f t="shared" si="28"/>
        <v>0.56642601633284761</v>
      </c>
      <c r="J67" s="154">
        <f t="shared" si="28"/>
        <v>2.6381181810060279E-2</v>
      </c>
      <c r="K67" s="154">
        <f t="shared" si="28"/>
        <v>0.44149266049168245</v>
      </c>
      <c r="L67" s="154">
        <f t="shared" si="28"/>
        <v>3.3423248412231899E-3</v>
      </c>
      <c r="M67" s="154">
        <f t="shared" si="28"/>
        <v>2.0337320111117073E-2</v>
      </c>
      <c r="N67" s="154">
        <f t="shared" si="28"/>
        <v>8.6659780486939939E-2</v>
      </c>
      <c r="O67" s="154">
        <f t="shared" si="28"/>
        <v>2.5869124162457897</v>
      </c>
      <c r="P67" s="154">
        <f t="shared" si="28"/>
        <v>0.56524135426241129</v>
      </c>
      <c r="Q67" s="154">
        <f t="shared" si="28"/>
        <v>7.459357320499598E-4</v>
      </c>
      <c r="R67" s="155">
        <f t="shared" si="27"/>
        <v>100</v>
      </c>
      <c r="S67" s="26"/>
    </row>
    <row r="68" spans="1:23" ht="52.5" thickTop="1" thickBot="1">
      <c r="A68" s="73" t="s">
        <v>565</v>
      </c>
      <c r="B68" s="154">
        <v>226277.49485300001</v>
      </c>
      <c r="C68" s="154">
        <v>134463.26252600001</v>
      </c>
      <c r="D68" s="154">
        <v>385536.32313799998</v>
      </c>
      <c r="E68" s="154">
        <v>6633.9799800000001</v>
      </c>
      <c r="F68" s="154">
        <v>890125.99806400004</v>
      </c>
      <c r="G68" s="154">
        <v>287515.61538099998</v>
      </c>
      <c r="H68" s="154">
        <v>7515953.7497300003</v>
      </c>
      <c r="I68" s="154">
        <v>36947.268793000003</v>
      </c>
      <c r="J68" s="154">
        <v>2585.616501</v>
      </c>
      <c r="K68" s="154">
        <v>44672.947050000002</v>
      </c>
      <c r="L68" s="154">
        <v>822.77762299999995</v>
      </c>
      <c r="M68" s="154">
        <v>1840.667293</v>
      </c>
      <c r="N68" s="154">
        <v>13117.752553</v>
      </c>
      <c r="O68" s="154">
        <v>270964.65847600001</v>
      </c>
      <c r="P68" s="154">
        <v>51210.148046000002</v>
      </c>
      <c r="Q68" s="154">
        <v>9433.1389679999993</v>
      </c>
      <c r="R68" s="155">
        <f>SUM(B68:Q68)</f>
        <v>9878101.3989749979</v>
      </c>
      <c r="T68" s="40"/>
    </row>
    <row r="69" spans="1:23" ht="39.75" thickTop="1" thickBot="1">
      <c r="A69" s="73" t="s">
        <v>566</v>
      </c>
      <c r="B69" s="154">
        <v>2.2906982396078632</v>
      </c>
      <c r="C69" s="154">
        <v>1.3612257770501588</v>
      </c>
      <c r="D69" s="154">
        <v>3.9029395180940862</v>
      </c>
      <c r="E69" s="154">
        <v>6.7158451933773178E-2</v>
      </c>
      <c r="F69" s="154">
        <v>9.0111040787287742</v>
      </c>
      <c r="G69" s="154">
        <v>2.9106364043887427</v>
      </c>
      <c r="H69" s="154">
        <v>76.087027720831998</v>
      </c>
      <c r="I69" s="154">
        <v>0.37403208674122174</v>
      </c>
      <c r="J69" s="154">
        <v>2.6175237493191724E-2</v>
      </c>
      <c r="K69" s="154">
        <v>0.45224224013974479</v>
      </c>
      <c r="L69" s="154">
        <v>8.3293093456742167E-3</v>
      </c>
      <c r="M69" s="154">
        <v>1.8633816546882145E-2</v>
      </c>
      <c r="N69" s="154">
        <v>0.13279629377322613</v>
      </c>
      <c r="O69" s="154">
        <v>2.7430843998434424</v>
      </c>
      <c r="P69" s="154">
        <v>0.51842095942965138</v>
      </c>
      <c r="Q69" s="154">
        <v>9.5495466051591954E-2</v>
      </c>
      <c r="R69" s="155">
        <f>SUM(B69:Q69)</f>
        <v>100</v>
      </c>
    </row>
    <row r="70" spans="1:23" ht="52.5" thickTop="1" thickBot="1">
      <c r="A70" s="73" t="s">
        <v>426</v>
      </c>
      <c r="B70" s="157">
        <v>226517.91437700001</v>
      </c>
      <c r="C70" s="157">
        <v>136945.704937</v>
      </c>
      <c r="D70" s="157">
        <v>408440.17464099999</v>
      </c>
      <c r="E70" s="157">
        <v>7478.8222139999998</v>
      </c>
      <c r="F70" s="157">
        <v>911215.42021400004</v>
      </c>
      <c r="G70" s="157">
        <v>290981.44817300001</v>
      </c>
      <c r="H70" s="157">
        <v>7564771.6738799997</v>
      </c>
      <c r="I70" s="157">
        <v>38648.66029</v>
      </c>
      <c r="J70" s="157">
        <v>2764.0117460000001</v>
      </c>
      <c r="K70" s="157">
        <v>48908.222435999996</v>
      </c>
      <c r="L70" s="157">
        <v>854.56885299999999</v>
      </c>
      <c r="M70" s="157">
        <v>2005.4732100000001</v>
      </c>
      <c r="N70" s="157">
        <v>15280.794812</v>
      </c>
      <c r="O70" s="157">
        <v>273542.388255</v>
      </c>
      <c r="P70" s="157">
        <v>44738.026037000003</v>
      </c>
      <c r="Q70" s="157">
        <v>11373.053044</v>
      </c>
      <c r="R70" s="158">
        <f>SUM(B70:Q70)</f>
        <v>9984466.3571189996</v>
      </c>
    </row>
    <row r="71" spans="1:23" ht="39.75" thickTop="1" thickBot="1">
      <c r="A71" s="73" t="s">
        <v>427</v>
      </c>
      <c r="B71" s="157">
        <v>2.2687032664043283</v>
      </c>
      <c r="C71" s="157">
        <v>1.3715876246040599</v>
      </c>
      <c r="D71" s="157">
        <v>4.0907561809728472</v>
      </c>
      <c r="E71" s="157">
        <v>7.4904576233736753E-2</v>
      </c>
      <c r="F71" s="157">
        <v>9.1263307183592914</v>
      </c>
      <c r="G71" s="157">
        <v>2.914341515763915</v>
      </c>
      <c r="H71" s="157">
        <v>75.765408017888319</v>
      </c>
      <c r="I71" s="157">
        <v>0.38708789140686733</v>
      </c>
      <c r="J71" s="157">
        <v>2.7683119429104383E-2</v>
      </c>
      <c r="K71" s="157">
        <v>0.48984312918364498</v>
      </c>
      <c r="L71" s="157">
        <v>8.5589837496992116E-3</v>
      </c>
      <c r="M71" s="157">
        <v>2.0085932870814699E-2</v>
      </c>
      <c r="N71" s="157">
        <v>0.15304568381969336</v>
      </c>
      <c r="O71" s="157">
        <v>2.7396796030061457</v>
      </c>
      <c r="P71" s="157">
        <v>0.44807628607112743</v>
      </c>
      <c r="Q71" s="157">
        <v>0.11390747023641307</v>
      </c>
      <c r="R71" s="158">
        <f>SUM(B71:Q71)</f>
        <v>100</v>
      </c>
    </row>
    <row r="72" spans="1:23" ht="52.5" thickTop="1" thickBot="1">
      <c r="A72" s="73" t="s">
        <v>442</v>
      </c>
      <c r="B72" s="154">
        <v>247047.40681499999</v>
      </c>
      <c r="C72" s="154">
        <v>145822.43477600001</v>
      </c>
      <c r="D72" s="154">
        <v>433822.91407599999</v>
      </c>
      <c r="E72" s="154">
        <v>8813.5171429999991</v>
      </c>
      <c r="F72" s="154">
        <v>1276796.4346400001</v>
      </c>
      <c r="G72" s="154">
        <v>306735.38444499997</v>
      </c>
      <c r="H72" s="154">
        <v>8004892.608178</v>
      </c>
      <c r="I72" s="154">
        <v>41901.376492000003</v>
      </c>
      <c r="J72" s="154">
        <v>3107.9115919999999</v>
      </c>
      <c r="K72" s="154">
        <v>54866.355810000001</v>
      </c>
      <c r="L72" s="154">
        <v>981.69827999999995</v>
      </c>
      <c r="M72" s="154">
        <v>2338.4620960000002</v>
      </c>
      <c r="N72" s="154">
        <v>15075.966017999999</v>
      </c>
      <c r="O72" s="154">
        <v>298445.67506600003</v>
      </c>
      <c r="P72" s="154">
        <v>47897.065449000002</v>
      </c>
      <c r="Q72" s="154">
        <v>12142.484683999999</v>
      </c>
      <c r="R72" s="155">
        <f t="shared" ref="R72:R73" si="29">SUM(B72:Q72)</f>
        <v>10900687.695559997</v>
      </c>
    </row>
    <row r="73" spans="1:23" ht="39.75" thickTop="1" thickBot="1">
      <c r="A73" s="73" t="s">
        <v>443</v>
      </c>
      <c r="B73" s="157">
        <v>2.2663469839212609</v>
      </c>
      <c r="C73" s="157">
        <v>1.337736102974453</v>
      </c>
      <c r="D73" s="157">
        <v>3.9797756452806379</v>
      </c>
      <c r="E73" s="157">
        <v>8.0852854325785956E-2</v>
      </c>
      <c r="F73" s="157">
        <v>11.712989769994579</v>
      </c>
      <c r="G73" s="157">
        <v>2.8139085625757136</v>
      </c>
      <c r="H73" s="157">
        <v>73.434748630019968</v>
      </c>
      <c r="I73" s="157">
        <v>0.38439204628408008</v>
      </c>
      <c r="J73" s="157">
        <v>2.8511151578683388E-2</v>
      </c>
      <c r="K73" s="157">
        <v>0.50332930675876386</v>
      </c>
      <c r="L73" s="157">
        <v>9.0058380481798355E-3</v>
      </c>
      <c r="M73" s="157">
        <v>2.145242723495774E-2</v>
      </c>
      <c r="N73" s="157">
        <v>0.13830288913001931</v>
      </c>
      <c r="O73" s="157">
        <v>2.737860980895372</v>
      </c>
      <c r="P73" s="157">
        <v>0.43939489678719212</v>
      </c>
      <c r="Q73" s="157">
        <v>0.11139191419038455</v>
      </c>
      <c r="R73" s="158">
        <f t="shared" si="29"/>
        <v>100.00000000000003</v>
      </c>
      <c r="U73" s="25"/>
      <c r="V73" s="25"/>
      <c r="W73" s="25"/>
    </row>
    <row r="74" spans="1:23" ht="52.5" thickTop="1" thickBot="1">
      <c r="A74" s="73" t="s">
        <v>455</v>
      </c>
      <c r="B74" s="154">
        <v>235441.37815800001</v>
      </c>
      <c r="C74" s="154">
        <v>144373.69969199999</v>
      </c>
      <c r="D74" s="154">
        <v>409117.538482</v>
      </c>
      <c r="E74" s="154">
        <v>8196.8011279999992</v>
      </c>
      <c r="F74" s="154">
        <v>1257899.513264</v>
      </c>
      <c r="G74" s="154">
        <v>283348.76287899999</v>
      </c>
      <c r="H74" s="154">
        <v>8607747.9691240005</v>
      </c>
      <c r="I74" s="154">
        <v>41711.539855000003</v>
      </c>
      <c r="J74" s="154">
        <v>3162.5080370000001</v>
      </c>
      <c r="K74" s="154">
        <v>52659.208506000003</v>
      </c>
      <c r="L74" s="154">
        <v>957.37876800000004</v>
      </c>
      <c r="M74" s="154">
        <v>2226.7438780000002</v>
      </c>
      <c r="N74" s="154">
        <v>16268.261775999999</v>
      </c>
      <c r="O74" s="154">
        <v>290069.02295999997</v>
      </c>
      <c r="P74" s="154">
        <v>43755.975961999997</v>
      </c>
      <c r="Q74" s="154">
        <v>13591.548812999999</v>
      </c>
      <c r="R74" s="155">
        <f t="shared" ref="R74:R75" si="30">SUM(B74:Q74)</f>
        <v>11410527.851282001</v>
      </c>
    </row>
    <row r="75" spans="1:23" ht="39.75" thickTop="1" thickBot="1">
      <c r="A75" s="73" t="s">
        <v>454</v>
      </c>
      <c r="B75" s="164">
        <v>2.0633697338686008</v>
      </c>
      <c r="C75" s="164">
        <v>1.2652674930877914</v>
      </c>
      <c r="D75" s="157">
        <v>3.5854391997828099</v>
      </c>
      <c r="E75" s="157">
        <v>7.18354245730978E-2</v>
      </c>
      <c r="F75" s="157">
        <v>11.024025616156504</v>
      </c>
      <c r="G75" s="157">
        <v>2.483222218743939</v>
      </c>
      <c r="H75" s="157">
        <v>75.436895482069204</v>
      </c>
      <c r="I75" s="157">
        <v>0.36555311374410787</v>
      </c>
      <c r="J75" s="157">
        <v>2.7715703236679663E-2</v>
      </c>
      <c r="K75" s="157">
        <v>0.46149669140927269</v>
      </c>
      <c r="L75" s="157">
        <v>8.3903109521128432E-3</v>
      </c>
      <c r="M75" s="157">
        <v>1.9514819182969E-2</v>
      </c>
      <c r="N75" s="157">
        <v>0.14257238567777758</v>
      </c>
      <c r="O75" s="157">
        <v>2.542117479056063</v>
      </c>
      <c r="P75" s="157">
        <v>0.38347021743682003</v>
      </c>
      <c r="Q75" s="157">
        <v>0.11911411102224298</v>
      </c>
      <c r="R75" s="158">
        <f t="shared" si="30"/>
        <v>99.999999999999986</v>
      </c>
      <c r="T75" s="25"/>
      <c r="V75" s="169"/>
    </row>
    <row r="76" spans="1:23" ht="52.5" thickTop="1" thickBot="1">
      <c r="A76" s="73" t="s">
        <v>569</v>
      </c>
      <c r="B76" s="167">
        <v>256179.89023600001</v>
      </c>
      <c r="C76" s="167">
        <v>151179.45928499999</v>
      </c>
      <c r="D76" s="167">
        <v>452838.701993</v>
      </c>
      <c r="E76" s="167">
        <v>9737.1913920000006</v>
      </c>
      <c r="F76" s="167">
        <v>1304705.7002969999</v>
      </c>
      <c r="G76" s="167">
        <v>310321.70128500002</v>
      </c>
      <c r="H76" s="167">
        <v>8259495.7434510002</v>
      </c>
      <c r="I76" s="167">
        <v>43885.027173000002</v>
      </c>
      <c r="J76" s="167">
        <v>4089.1441970000001</v>
      </c>
      <c r="K76" s="167">
        <v>65313.970248999998</v>
      </c>
      <c r="L76" s="167">
        <v>952.96790599999997</v>
      </c>
      <c r="M76" s="167">
        <v>2661.7190799999998</v>
      </c>
      <c r="N76" s="167">
        <v>17248.859831999998</v>
      </c>
      <c r="O76" s="167">
        <v>320381.79622000002</v>
      </c>
      <c r="P76" s="167">
        <v>46430.777481999998</v>
      </c>
      <c r="Q76" s="167">
        <v>13897.187758</v>
      </c>
      <c r="R76" s="158">
        <f>SUM(B76:Q76)</f>
        <v>11259319.837835999</v>
      </c>
      <c r="V76" s="169"/>
    </row>
    <row r="77" spans="1:23" ht="39.75" thickTop="1" thickBot="1">
      <c r="A77" s="73" t="s">
        <v>570</v>
      </c>
      <c r="B77" s="164">
        <v>2.2752696781481325</v>
      </c>
      <c r="C77" s="164">
        <v>1.3427050786582517</v>
      </c>
      <c r="D77" s="164">
        <v>4.0219010430032691</v>
      </c>
      <c r="E77" s="164">
        <v>8.6481168776101264E-2</v>
      </c>
      <c r="F77" s="164">
        <v>11.587784334117998</v>
      </c>
      <c r="G77" s="164">
        <v>2.7561318601341265</v>
      </c>
      <c r="H77" s="164">
        <v>73.356968825911295</v>
      </c>
      <c r="I77" s="164">
        <v>0.38976623637182817</v>
      </c>
      <c r="J77" s="164">
        <v>3.6317861610599023E-2</v>
      </c>
      <c r="K77" s="164">
        <v>0.58008806206497376</v>
      </c>
      <c r="L77" s="164">
        <v>8.4638141532993073E-3</v>
      </c>
      <c r="M77" s="164">
        <v>2.3640140952879911E-2</v>
      </c>
      <c r="N77" s="164">
        <v>0.15319628610279507</v>
      </c>
      <c r="O77" s="157">
        <v>2.8454809067896258</v>
      </c>
      <c r="P77" s="164">
        <v>0.41237639707128015</v>
      </c>
      <c r="Q77" s="164">
        <v>0.1234283061335523</v>
      </c>
      <c r="R77" s="166">
        <f>SUM(B77:Q77)</f>
        <v>100.00000000000001</v>
      </c>
      <c r="U77" s="168"/>
      <c r="V77" s="169"/>
    </row>
    <row r="78" spans="1:23" ht="52.5" thickTop="1" thickBot="1">
      <c r="A78" s="83" t="s">
        <v>585</v>
      </c>
      <c r="B78" s="154">
        <v>265979.49222000001</v>
      </c>
      <c r="C78" s="154">
        <v>157469.51454900001</v>
      </c>
      <c r="D78" s="154">
        <v>482816.01069800003</v>
      </c>
      <c r="E78" s="154">
        <v>10618.24231</v>
      </c>
      <c r="F78" s="154">
        <v>1933180.945057</v>
      </c>
      <c r="G78" s="154">
        <v>323570.81732600002</v>
      </c>
      <c r="H78" s="154">
        <v>7232052.6066410001</v>
      </c>
      <c r="I78" s="154">
        <v>42398.141717999999</v>
      </c>
      <c r="J78" s="154">
        <v>4175.4649499999996</v>
      </c>
      <c r="K78" s="154">
        <v>67220.556110999998</v>
      </c>
      <c r="L78" s="154">
        <v>277.64918599999999</v>
      </c>
      <c r="M78" s="154">
        <v>2673.7486050000002</v>
      </c>
      <c r="N78" s="154">
        <v>10626.996255</v>
      </c>
      <c r="O78" s="154">
        <v>332951.80443100003</v>
      </c>
      <c r="P78" s="154">
        <v>55885.395660000002</v>
      </c>
      <c r="Q78" s="154">
        <v>16729.523895999999</v>
      </c>
      <c r="R78" s="155">
        <f t="shared" ref="R78:R79" si="31">SUM(B78:Q78)</f>
        <v>10938626.909613</v>
      </c>
      <c r="U78" s="170"/>
      <c r="V78" s="169"/>
    </row>
    <row r="79" spans="1:23" ht="39.75" thickTop="1" thickBot="1">
      <c r="A79" s="73" t="s">
        <v>586</v>
      </c>
      <c r="B79" s="157">
        <v>2.4315619722458397</v>
      </c>
      <c r="C79" s="157">
        <v>1.4395729541759383</v>
      </c>
      <c r="D79" s="157">
        <v>4.4138630441238957</v>
      </c>
      <c r="E79" s="157">
        <v>9.7071071147591281E-2</v>
      </c>
      <c r="F79" s="157">
        <v>17.672976334516875</v>
      </c>
      <c r="G79" s="157">
        <v>2.958056984662691</v>
      </c>
      <c r="H79" s="157">
        <v>66.114811908297028</v>
      </c>
      <c r="I79" s="157">
        <v>0.38760021772696163</v>
      </c>
      <c r="J79" s="157">
        <v>3.8171746641532764E-2</v>
      </c>
      <c r="K79" s="157">
        <v>0.61452462604722113</v>
      </c>
      <c r="L79" s="157">
        <v>2.5382453236063702E-3</v>
      </c>
      <c r="M79" s="157">
        <v>2.4443183107838492E-2</v>
      </c>
      <c r="N79" s="157">
        <v>9.7151098970757147E-2</v>
      </c>
      <c r="O79" s="157">
        <v>3.0438171736015414</v>
      </c>
      <c r="P79" s="157">
        <v>0.51089955002384468</v>
      </c>
      <c r="Q79" s="157">
        <v>0.15293988938682868</v>
      </c>
      <c r="R79" s="158">
        <f t="shared" si="31"/>
        <v>99.999999999999986</v>
      </c>
      <c r="V79" s="169"/>
    </row>
    <row r="80" spans="1:23" ht="52.5" thickTop="1" thickBot="1">
      <c r="A80" s="73" t="s">
        <v>588</v>
      </c>
      <c r="B80" s="152">
        <v>265342.60070100002</v>
      </c>
      <c r="C80" s="152">
        <v>158091.108821</v>
      </c>
      <c r="D80" s="152">
        <v>467579.12398400001</v>
      </c>
      <c r="E80" s="152">
        <v>11052.988689</v>
      </c>
      <c r="F80" s="152">
        <v>1812268.4187789999</v>
      </c>
      <c r="G80" s="152">
        <v>300295.250061</v>
      </c>
      <c r="H80" s="152">
        <v>6523441.4393189996</v>
      </c>
      <c r="I80" s="152">
        <v>42808.795487000003</v>
      </c>
      <c r="J80" s="152">
        <v>4115.6559539999998</v>
      </c>
      <c r="K80" s="152">
        <v>67149.405421999996</v>
      </c>
      <c r="L80" s="152">
        <v>265.830759</v>
      </c>
      <c r="M80" s="152">
        <v>2444.9795450000001</v>
      </c>
      <c r="N80" s="152">
        <v>11377.552512</v>
      </c>
      <c r="O80" s="152">
        <v>320963.14062399999</v>
      </c>
      <c r="P80" s="152">
        <v>51585.989880000001</v>
      </c>
      <c r="Q80" s="152">
        <v>16064.341748999999</v>
      </c>
      <c r="R80" s="155">
        <f t="shared" ref="R80:R81" si="32">SUM(B80:Q80)</f>
        <v>10054846.622285996</v>
      </c>
      <c r="T80" s="40"/>
      <c r="U80" s="40"/>
      <c r="V80" s="169"/>
    </row>
    <row r="81" spans="1:21" ht="39.75" thickTop="1" thickBot="1">
      <c r="A81" s="171" t="s">
        <v>589</v>
      </c>
      <c r="B81" s="157">
        <v>2.6389522453070864</v>
      </c>
      <c r="C81" s="157">
        <v>1.5722876216788833</v>
      </c>
      <c r="D81" s="157">
        <v>4.6502859919079969</v>
      </c>
      <c r="E81" s="157">
        <v>0.10992697456470077</v>
      </c>
      <c r="F81" s="157">
        <v>18.023829570529799</v>
      </c>
      <c r="G81" s="157">
        <v>2.9865721610851095</v>
      </c>
      <c r="H81" s="157">
        <v>64.87857731076835</v>
      </c>
      <c r="I81" s="157">
        <v>0.4257528443260063</v>
      </c>
      <c r="J81" s="157">
        <v>4.0932061011034047E-2</v>
      </c>
      <c r="K81" s="157">
        <v>0.66783122552229846</v>
      </c>
      <c r="L81" s="157">
        <v>2.6438072005076762E-3</v>
      </c>
      <c r="M81" s="157">
        <v>2.431642805550949E-2</v>
      </c>
      <c r="N81" s="157">
        <v>0.11315490866645646</v>
      </c>
      <c r="O81" s="157">
        <v>3.1921236860302118</v>
      </c>
      <c r="P81" s="157">
        <v>0.51304601470163247</v>
      </c>
      <c r="Q81" s="157">
        <v>0.15976714864445868</v>
      </c>
      <c r="R81" s="158">
        <f t="shared" si="32"/>
        <v>100.00000000000006</v>
      </c>
      <c r="T81" s="40"/>
      <c r="U81" s="40"/>
    </row>
    <row r="82" spans="1:21" ht="52.5" thickTop="1" thickBot="1">
      <c r="A82" s="73" t="s">
        <v>455</v>
      </c>
      <c r="B82" s="167">
        <v>272254.420683</v>
      </c>
      <c r="C82" s="167">
        <v>163004.378524</v>
      </c>
      <c r="D82" s="167">
        <v>499405.06618199998</v>
      </c>
      <c r="E82" s="167">
        <v>11663.609077999999</v>
      </c>
      <c r="F82" s="167">
        <v>1838768.5692739999</v>
      </c>
      <c r="G82" s="167">
        <v>315182.525135</v>
      </c>
      <c r="H82" s="167">
        <v>6460670.0625099996</v>
      </c>
      <c r="I82" s="167">
        <v>49136.940714999997</v>
      </c>
      <c r="J82" s="167">
        <v>4380.1365729999998</v>
      </c>
      <c r="K82" s="167">
        <v>73055.281191999995</v>
      </c>
      <c r="L82" s="167">
        <v>286.75611099999998</v>
      </c>
      <c r="M82" s="167">
        <v>2554.3373609999999</v>
      </c>
      <c r="N82" s="167">
        <v>11843.409883</v>
      </c>
      <c r="O82" s="167">
        <v>338152.49450999999</v>
      </c>
      <c r="P82" s="167">
        <v>48868.041418000001</v>
      </c>
      <c r="Q82" s="167">
        <v>13499.400479</v>
      </c>
      <c r="R82" s="158">
        <f>SUM(B82:Q82)</f>
        <v>10102725.429628</v>
      </c>
    </row>
    <row r="83" spans="1:21" ht="39.75" thickTop="1" thickBot="1">
      <c r="A83" s="73" t="s">
        <v>454</v>
      </c>
      <c r="B83" s="154">
        <f>(B82/$R$82)*100</f>
        <v>2.6948611300923466</v>
      </c>
      <c r="C83" s="154">
        <f t="shared" ref="C83:Q83" si="33">(C82/$R$82)*100</f>
        <v>1.6134693520023942</v>
      </c>
      <c r="D83" s="154">
        <f t="shared" si="33"/>
        <v>4.9432707011655266</v>
      </c>
      <c r="E83" s="154">
        <f t="shared" si="33"/>
        <v>0.11545012441686713</v>
      </c>
      <c r="F83" s="154">
        <f t="shared" si="33"/>
        <v>18.200718034773974</v>
      </c>
      <c r="G83" s="154">
        <f t="shared" si="33"/>
        <v>3.1197772059673365</v>
      </c>
      <c r="H83" s="154">
        <f t="shared" si="33"/>
        <v>63.949773826010961</v>
      </c>
      <c r="I83" s="154">
        <f t="shared" si="33"/>
        <v>0.48637311839533298</v>
      </c>
      <c r="J83" s="154">
        <f t="shared" si="33"/>
        <v>4.3355989465520731E-2</v>
      </c>
      <c r="K83" s="154">
        <f t="shared" si="33"/>
        <v>0.72312448458465162</v>
      </c>
      <c r="L83" s="154">
        <f>(L82/$R$82)*100</f>
        <v>2.8384034882214834E-3</v>
      </c>
      <c r="M83" s="154">
        <f t="shared" si="33"/>
        <v>2.5283646267461265E-2</v>
      </c>
      <c r="N83" s="154">
        <f t="shared" si="33"/>
        <v>0.11722985015773209</v>
      </c>
      <c r="O83" s="154">
        <f t="shared" si="33"/>
        <v>3.3471412923715511</v>
      </c>
      <c r="P83" s="154">
        <f t="shared" si="33"/>
        <v>0.48371146735004761</v>
      </c>
      <c r="Q83" s="154">
        <f t="shared" si="33"/>
        <v>0.13362137349007486</v>
      </c>
      <c r="R83" s="155">
        <f>SUM(B83:Q83)</f>
        <v>100</v>
      </c>
    </row>
    <row r="84" spans="1:21" ht="52.5" thickTop="1" thickBot="1">
      <c r="A84" s="73" t="s">
        <v>604</v>
      </c>
      <c r="B84" s="154">
        <v>272149</v>
      </c>
      <c r="C84" s="154">
        <v>160928</v>
      </c>
      <c r="D84" s="154">
        <v>502134</v>
      </c>
      <c r="E84" s="154">
        <v>11064</v>
      </c>
      <c r="F84" s="154">
        <v>1785187</v>
      </c>
      <c r="G84" s="154">
        <v>313054</v>
      </c>
      <c r="H84" s="154">
        <v>6607701</v>
      </c>
      <c r="I84" s="154">
        <v>49664</v>
      </c>
      <c r="J84" s="154">
        <v>4340</v>
      </c>
      <c r="K84" s="154">
        <v>70737</v>
      </c>
      <c r="L84" s="154">
        <v>292</v>
      </c>
      <c r="M84" s="154">
        <v>2365</v>
      </c>
      <c r="N84" s="154">
        <v>17494</v>
      </c>
      <c r="O84" s="154">
        <v>339361</v>
      </c>
      <c r="P84" s="154">
        <v>50095</v>
      </c>
      <c r="Q84" s="154">
        <v>13490</v>
      </c>
      <c r="R84" s="155">
        <f t="shared" ref="R84:R85" si="34">SUM(B84:Q84)</f>
        <v>10200055</v>
      </c>
    </row>
    <row r="85" spans="1:21" ht="39.75" thickTop="1" thickBot="1">
      <c r="A85" s="73" t="s">
        <v>605</v>
      </c>
      <c r="B85" s="157">
        <v>2.67</v>
      </c>
      <c r="C85" s="157">
        <v>1.58</v>
      </c>
      <c r="D85" s="157">
        <v>4.92</v>
      </c>
      <c r="E85" s="157">
        <v>0.11</v>
      </c>
      <c r="F85" s="157">
        <v>17.5</v>
      </c>
      <c r="G85" s="157">
        <v>3.07</v>
      </c>
      <c r="H85" s="157">
        <v>64.78</v>
      </c>
      <c r="I85" s="157">
        <v>0.49</v>
      </c>
      <c r="J85" s="157">
        <v>0.04</v>
      </c>
      <c r="K85" s="157">
        <v>0.69</v>
      </c>
      <c r="L85" s="157">
        <v>0</v>
      </c>
      <c r="M85" s="157">
        <v>0.02</v>
      </c>
      <c r="N85" s="157">
        <v>0.17</v>
      </c>
      <c r="O85" s="157">
        <v>3.33</v>
      </c>
      <c r="P85" s="157">
        <v>0.49</v>
      </c>
      <c r="Q85" s="157">
        <v>0.13</v>
      </c>
      <c r="R85" s="155">
        <f t="shared" si="34"/>
        <v>99.989999999999981</v>
      </c>
    </row>
    <row r="86" spans="1:21" ht="27" thickTop="1" thickBot="1">
      <c r="A86" s="73" t="s">
        <v>610</v>
      </c>
      <c r="B86" s="157">
        <v>278075</v>
      </c>
      <c r="C86" s="157">
        <v>168227</v>
      </c>
      <c r="D86" s="157">
        <v>493971</v>
      </c>
      <c r="E86" s="157">
        <v>11167</v>
      </c>
      <c r="F86" s="157">
        <v>1752924</v>
      </c>
      <c r="G86" s="157">
        <v>317204</v>
      </c>
      <c r="H86" s="157">
        <v>6341897</v>
      </c>
      <c r="I86" s="157">
        <v>49851</v>
      </c>
      <c r="J86" s="157">
        <v>3896</v>
      </c>
      <c r="K86" s="157">
        <v>70071</v>
      </c>
      <c r="L86" s="157">
        <v>492</v>
      </c>
      <c r="M86" s="157">
        <v>2290</v>
      </c>
      <c r="N86" s="157">
        <v>17184</v>
      </c>
      <c r="O86" s="157">
        <v>346618</v>
      </c>
      <c r="P86" s="157">
        <v>53294</v>
      </c>
      <c r="Q86" s="157">
        <v>11533</v>
      </c>
      <c r="R86" s="158">
        <f t="shared" ref="R86:R91" si="35">SUM(B86:Q86)</f>
        <v>9918694</v>
      </c>
    </row>
    <row r="87" spans="1:21" ht="39.75" thickTop="1" thickBot="1">
      <c r="A87" s="73" t="s">
        <v>618</v>
      </c>
      <c r="B87" s="157">
        <v>2.8</v>
      </c>
      <c r="C87" s="157">
        <v>1.7</v>
      </c>
      <c r="D87" s="157">
        <v>4.9800000000000004</v>
      </c>
      <c r="E87" s="157">
        <v>0.11</v>
      </c>
      <c r="F87" s="157">
        <v>17.670000000000002</v>
      </c>
      <c r="G87" s="157">
        <v>3.2</v>
      </c>
      <c r="H87" s="157">
        <v>63.94</v>
      </c>
      <c r="I87" s="157">
        <v>0.5</v>
      </c>
      <c r="J87" s="157">
        <v>0.04</v>
      </c>
      <c r="K87" s="157">
        <v>0.71</v>
      </c>
      <c r="L87" s="157">
        <v>0</v>
      </c>
      <c r="M87" s="157">
        <v>0.02</v>
      </c>
      <c r="N87" s="157">
        <v>0.17</v>
      </c>
      <c r="O87" s="157">
        <v>3.49</v>
      </c>
      <c r="P87" s="157">
        <v>0.54</v>
      </c>
      <c r="Q87" s="157">
        <v>0.12</v>
      </c>
      <c r="R87" s="158">
        <f t="shared" si="35"/>
        <v>99.990000000000009</v>
      </c>
    </row>
    <row r="88" spans="1:21" ht="52.5" thickTop="1" thickBot="1">
      <c r="A88" s="73" t="s">
        <v>624</v>
      </c>
      <c r="B88" s="173">
        <f>261708189902/1000000</f>
        <v>261708.18990200001</v>
      </c>
      <c r="C88" s="173">
        <f>154370678911/1000000</f>
        <v>154370.678911</v>
      </c>
      <c r="D88" s="173">
        <f>472409462674/1000000</f>
        <v>472409.46267400001</v>
      </c>
      <c r="E88" s="173">
        <f>9732703850/1000000</f>
        <v>9732.7038499999999</v>
      </c>
      <c r="F88" s="173">
        <f>1608748862122/1000000</f>
        <v>1608748.862122</v>
      </c>
      <c r="G88" s="173">
        <f>297519757109/1000000</f>
        <v>297519.757109</v>
      </c>
      <c r="H88" s="173">
        <f>5797389347041/1000000</f>
        <v>5797389.3470409997</v>
      </c>
      <c r="I88" s="173">
        <f>42443473179/1000000</f>
        <v>42443.473179000001</v>
      </c>
      <c r="J88" s="173">
        <f>4167280990/1000000</f>
        <v>4167.2809900000002</v>
      </c>
      <c r="K88" s="173">
        <f>65411009248/1000000</f>
        <v>65411.009248000002</v>
      </c>
      <c r="L88" s="173">
        <f>573636385/1000000</f>
        <v>573.63638500000002</v>
      </c>
      <c r="M88" s="173">
        <f>2212956065/1000000</f>
        <v>2212.9560649999999</v>
      </c>
      <c r="N88" s="173">
        <f>17942433190/1000000</f>
        <v>17942.43319</v>
      </c>
      <c r="O88" s="173">
        <f>331239522424/1000000</f>
        <v>331239.52242400002</v>
      </c>
      <c r="P88" s="173">
        <f>48639515890/1000000</f>
        <v>48639.515890000002</v>
      </c>
      <c r="Q88" s="173">
        <f>11619284099/1000000</f>
        <v>11619.284099</v>
      </c>
      <c r="R88" s="174">
        <f t="shared" si="35"/>
        <v>9126128.1130789965</v>
      </c>
    </row>
    <row r="89" spans="1:21" ht="39" thickBot="1">
      <c r="A89" s="171" t="s">
        <v>625</v>
      </c>
      <c r="B89" s="175">
        <f>(B88/R88)*100</f>
        <v>2.8676804298521317</v>
      </c>
      <c r="C89" s="175">
        <f>(C88/R88)*100</f>
        <v>1.691524346340981</v>
      </c>
      <c r="D89" s="175">
        <f>(D88/R88)*100</f>
        <v>5.1764500434414487</v>
      </c>
      <c r="E89" s="175">
        <f>E88/R88*100</f>
        <v>0.10664658362675948</v>
      </c>
      <c r="F89" s="175">
        <f>F88/R88*100</f>
        <v>17.627945194155686</v>
      </c>
      <c r="G89" s="175">
        <f>G88/R88*100</f>
        <v>3.2600874480669768</v>
      </c>
      <c r="H89" s="175">
        <f>H88/R88*100</f>
        <v>63.52518039641086</v>
      </c>
      <c r="I89" s="175">
        <f>I88/R88*100</f>
        <v>0.46507645578821832</v>
      </c>
      <c r="J89" s="175">
        <f>J88/R88*100</f>
        <v>4.5663187480654732E-2</v>
      </c>
      <c r="K89" s="175">
        <f>K88/R88*100</f>
        <v>0.71674436779226269</v>
      </c>
      <c r="L89" s="175">
        <f>L88/R88*100</f>
        <v>6.285649049544902E-3</v>
      </c>
      <c r="M89" s="175">
        <f>M88/R88*100</f>
        <v>2.4248575492037305E-2</v>
      </c>
      <c r="N89" s="175">
        <f>N88/R88*100</f>
        <v>0.19660509876347262</v>
      </c>
      <c r="O89" s="175">
        <f>O88/R88*100</f>
        <v>3.6295734436303637</v>
      </c>
      <c r="P89" s="175">
        <f>P88/R88*100</f>
        <v>0.53296990012985779</v>
      </c>
      <c r="Q89" s="175">
        <f>Q88/R88*100</f>
        <v>0.12731887997877181</v>
      </c>
      <c r="R89" s="175">
        <f t="shared" si="35"/>
        <v>100.00000000000003</v>
      </c>
    </row>
    <row r="90" spans="1:21" ht="52.5" thickTop="1" thickBot="1">
      <c r="A90" s="73" t="s">
        <v>692</v>
      </c>
      <c r="B90" s="177">
        <v>268304.29627200001</v>
      </c>
      <c r="C90" s="177">
        <v>158746.81681600001</v>
      </c>
      <c r="D90" s="177">
        <v>475202.64824499999</v>
      </c>
      <c r="E90" s="177">
        <v>17083.473647999999</v>
      </c>
      <c r="F90" s="177">
        <v>1621492.116927</v>
      </c>
      <c r="G90" s="177">
        <v>298848.82086899999</v>
      </c>
      <c r="H90" s="177">
        <v>5881634.9935339997</v>
      </c>
      <c r="I90" s="177">
        <v>77718.983796</v>
      </c>
      <c r="J90" s="177">
        <v>4973.1621169999999</v>
      </c>
      <c r="K90" s="177">
        <v>65715.428711</v>
      </c>
      <c r="L90" s="177">
        <v>3966.8778539999998</v>
      </c>
      <c r="M90" s="177">
        <v>2270.0379480000001</v>
      </c>
      <c r="N90" s="177">
        <v>19458.897499999999</v>
      </c>
      <c r="O90" s="177">
        <v>357573.538497</v>
      </c>
      <c r="P90" s="177">
        <v>50188.892041999999</v>
      </c>
      <c r="Q90" s="177">
        <v>14951.103107000001</v>
      </c>
      <c r="R90" s="178">
        <f t="shared" si="35"/>
        <v>9318130.0878830012</v>
      </c>
    </row>
    <row r="91" spans="1:21" ht="39.75" thickTop="1" thickBot="1">
      <c r="A91" s="73" t="s">
        <v>693</v>
      </c>
      <c r="B91" s="179">
        <v>2.8793791645052731</v>
      </c>
      <c r="C91" s="179">
        <v>1.7036338333849759</v>
      </c>
      <c r="D91" s="179">
        <v>5.0997640488292637</v>
      </c>
      <c r="E91" s="179">
        <v>0.18333585694639318</v>
      </c>
      <c r="F91" s="179">
        <v>17.401475420862997</v>
      </c>
      <c r="G91" s="179">
        <v>3.2071758823974075</v>
      </c>
      <c r="H91" s="179">
        <v>63.12033571180006</v>
      </c>
      <c r="I91" s="179">
        <v>0.83406201741123231</v>
      </c>
      <c r="J91" s="179">
        <v>5.3370816570450563E-2</v>
      </c>
      <c r="K91" s="179">
        <v>0.70524266232829524</v>
      </c>
      <c r="L91" s="179">
        <v>4.2571608429875875E-2</v>
      </c>
      <c r="M91" s="179">
        <v>2.4361518100631425E-2</v>
      </c>
      <c r="N91" s="179">
        <v>0.20882835200276639</v>
      </c>
      <c r="O91" s="179">
        <v>3.8373958629529885</v>
      </c>
      <c r="P91" s="179">
        <v>0.53861549011066112</v>
      </c>
      <c r="Q91" s="179">
        <v>0.16045175336671827</v>
      </c>
      <c r="R91" s="179">
        <f t="shared" si="35"/>
        <v>99.999999999999972</v>
      </c>
    </row>
    <row r="92" spans="1:21" ht="52.5" thickTop="1" thickBot="1">
      <c r="A92" s="73" t="s">
        <v>698</v>
      </c>
      <c r="B92" s="154">
        <v>243277</v>
      </c>
      <c r="C92" s="154">
        <v>142360</v>
      </c>
      <c r="D92" s="154">
        <v>433829</v>
      </c>
      <c r="E92" s="154">
        <v>16254</v>
      </c>
      <c r="F92" s="154">
        <v>1494580</v>
      </c>
      <c r="G92" s="154">
        <v>272564</v>
      </c>
      <c r="H92" s="154">
        <v>5657330</v>
      </c>
      <c r="I92" s="154">
        <v>67161</v>
      </c>
      <c r="J92" s="154">
        <v>4540</v>
      </c>
      <c r="K92" s="154">
        <v>65919</v>
      </c>
      <c r="L92" s="154">
        <v>3463</v>
      </c>
      <c r="M92" s="154">
        <v>1040</v>
      </c>
      <c r="N92" s="154">
        <v>18044</v>
      </c>
      <c r="O92" s="154">
        <v>337945</v>
      </c>
      <c r="P92" s="154">
        <v>45615</v>
      </c>
      <c r="Q92" s="154">
        <v>13680</v>
      </c>
      <c r="R92" s="155">
        <v>8817604</v>
      </c>
    </row>
    <row r="93" spans="1:21" ht="39" thickTop="1">
      <c r="A93" s="73" t="s">
        <v>697</v>
      </c>
      <c r="B93" s="157">
        <v>2.76</v>
      </c>
      <c r="C93" s="157">
        <v>1.61</v>
      </c>
      <c r="D93" s="157">
        <v>4.92</v>
      </c>
      <c r="E93" s="157">
        <v>0.18</v>
      </c>
      <c r="F93" s="157">
        <v>16.95</v>
      </c>
      <c r="G93" s="157">
        <v>3.09</v>
      </c>
      <c r="H93" s="157">
        <v>64.16</v>
      </c>
      <c r="I93" s="157">
        <v>0.76</v>
      </c>
      <c r="J93" s="157">
        <v>0.05</v>
      </c>
      <c r="K93" s="157">
        <v>0.75</v>
      </c>
      <c r="L93" s="157">
        <v>0.04</v>
      </c>
      <c r="M93" s="157">
        <v>0.01</v>
      </c>
      <c r="N93" s="157">
        <v>0.2</v>
      </c>
      <c r="O93" s="157">
        <v>3.83</v>
      </c>
      <c r="P93" s="157">
        <v>0.52</v>
      </c>
      <c r="Q93" s="157">
        <v>0.16</v>
      </c>
      <c r="R93" s="158">
        <v>100</v>
      </c>
    </row>
    <row r="95" spans="1:21">
      <c r="A95" s="43" t="s">
        <v>2</v>
      </c>
      <c r="R95" s="46" t="s">
        <v>15</v>
      </c>
    </row>
    <row r="96" spans="1:21">
      <c r="A96" s="43" t="s">
        <v>3</v>
      </c>
      <c r="O96" s="40"/>
      <c r="P96" s="40"/>
      <c r="Q96" s="40"/>
      <c r="R96" s="46" t="s">
        <v>16</v>
      </c>
    </row>
    <row r="97" spans="1:18">
      <c r="A97" s="43" t="s">
        <v>1</v>
      </c>
      <c r="O97" s="40"/>
      <c r="P97" s="40"/>
      <c r="Q97" s="40"/>
      <c r="R97" s="46" t="s">
        <v>17</v>
      </c>
    </row>
    <row r="98" spans="1:18">
      <c r="A98" s="43" t="s">
        <v>4</v>
      </c>
      <c r="R98" s="46" t="s">
        <v>18</v>
      </c>
    </row>
    <row r="99" spans="1:18">
      <c r="A99" s="43" t="s">
        <v>5</v>
      </c>
      <c r="R99" s="25" t="s">
        <v>19</v>
      </c>
    </row>
    <row r="100" spans="1:18">
      <c r="A100" s="43" t="s">
        <v>23</v>
      </c>
      <c r="R100" s="25" t="s">
        <v>24</v>
      </c>
    </row>
    <row r="181" spans="6:6">
      <c r="F181" s="26" t="e">
        <f>#REF!&amp;" "&amp;#REF!</f>
        <v>#REF!</v>
      </c>
    </row>
    <row r="182" spans="6:6">
      <c r="F182" s="26" t="e">
        <f>#REF!&amp;" "&amp;B99</f>
        <v>#REF!</v>
      </c>
    </row>
    <row r="183" spans="6:6">
      <c r="F183" s="26" t="e">
        <f>#REF!&amp;" "&amp;B100</f>
        <v>#REF!</v>
      </c>
    </row>
    <row r="184" spans="6:6">
      <c r="F184" s="26" t="str">
        <f t="shared" ref="F184:F217" si="36">A101&amp;" "&amp;B101</f>
        <v xml:space="preserve"> </v>
      </c>
    </row>
    <row r="185" spans="6:6">
      <c r="F185" s="26" t="str">
        <f t="shared" si="36"/>
        <v xml:space="preserve"> </v>
      </c>
    </row>
    <row r="186" spans="6:6">
      <c r="F186" s="26" t="str">
        <f t="shared" si="36"/>
        <v xml:space="preserve"> </v>
      </c>
    </row>
    <row r="187" spans="6:6">
      <c r="F187" s="26" t="str">
        <f t="shared" si="36"/>
        <v xml:space="preserve"> </v>
      </c>
    </row>
    <row r="188" spans="6:6">
      <c r="F188" s="26" t="str">
        <f t="shared" si="36"/>
        <v xml:space="preserve"> </v>
      </c>
    </row>
    <row r="189" spans="6:6">
      <c r="F189" s="26" t="str">
        <f t="shared" si="36"/>
        <v xml:space="preserve"> </v>
      </c>
    </row>
    <row r="190" spans="6:6">
      <c r="F190" s="26" t="str">
        <f t="shared" si="36"/>
        <v xml:space="preserve"> </v>
      </c>
    </row>
    <row r="191" spans="6:6">
      <c r="F191" s="26" t="str">
        <f t="shared" si="36"/>
        <v xml:space="preserve"> </v>
      </c>
    </row>
    <row r="192" spans="6:6">
      <c r="F192" s="26" t="str">
        <f t="shared" si="36"/>
        <v xml:space="preserve"> </v>
      </c>
    </row>
    <row r="193" spans="6:6">
      <c r="F193" s="26" t="str">
        <f t="shared" si="36"/>
        <v xml:space="preserve"> </v>
      </c>
    </row>
    <row r="194" spans="6:6">
      <c r="F194" s="26" t="str">
        <f t="shared" si="36"/>
        <v xml:space="preserve"> </v>
      </c>
    </row>
    <row r="195" spans="6:6">
      <c r="F195" s="26" t="str">
        <f t="shared" si="36"/>
        <v xml:space="preserve"> </v>
      </c>
    </row>
    <row r="196" spans="6:6">
      <c r="F196" s="26" t="str">
        <f t="shared" si="36"/>
        <v xml:space="preserve"> </v>
      </c>
    </row>
    <row r="197" spans="6:6">
      <c r="F197" s="26" t="str">
        <f t="shared" si="36"/>
        <v xml:space="preserve"> </v>
      </c>
    </row>
    <row r="198" spans="6:6">
      <c r="F198" s="26" t="str">
        <f t="shared" si="36"/>
        <v xml:space="preserve"> </v>
      </c>
    </row>
    <row r="199" spans="6:6">
      <c r="F199" s="26" t="str">
        <f t="shared" si="36"/>
        <v xml:space="preserve"> </v>
      </c>
    </row>
    <row r="200" spans="6:6">
      <c r="F200" s="26" t="str">
        <f t="shared" si="36"/>
        <v xml:space="preserve"> </v>
      </c>
    </row>
    <row r="201" spans="6:6">
      <c r="F201" s="26" t="str">
        <f t="shared" si="36"/>
        <v xml:space="preserve"> </v>
      </c>
    </row>
    <row r="202" spans="6:6">
      <c r="F202" s="26" t="str">
        <f t="shared" si="36"/>
        <v xml:space="preserve"> </v>
      </c>
    </row>
    <row r="203" spans="6:6">
      <c r="F203" s="26" t="str">
        <f t="shared" si="36"/>
        <v xml:space="preserve"> </v>
      </c>
    </row>
    <row r="204" spans="6:6">
      <c r="F204" s="26" t="str">
        <f t="shared" si="36"/>
        <v xml:space="preserve"> </v>
      </c>
    </row>
    <row r="205" spans="6:6">
      <c r="F205" s="26" t="str">
        <f t="shared" si="36"/>
        <v xml:space="preserve"> </v>
      </c>
    </row>
    <row r="206" spans="6:6">
      <c r="F206" s="26" t="str">
        <f t="shared" si="36"/>
        <v xml:space="preserve"> </v>
      </c>
    </row>
    <row r="207" spans="6:6">
      <c r="F207" s="26" t="str">
        <f t="shared" si="36"/>
        <v xml:space="preserve"> </v>
      </c>
    </row>
    <row r="208" spans="6:6">
      <c r="F208" s="26" t="str">
        <f t="shared" si="36"/>
        <v xml:space="preserve"> </v>
      </c>
    </row>
    <row r="209" spans="6:6">
      <c r="F209" s="26" t="str">
        <f t="shared" si="36"/>
        <v xml:space="preserve"> </v>
      </c>
    </row>
    <row r="210" spans="6:6">
      <c r="F210" s="26" t="str">
        <f t="shared" si="36"/>
        <v xml:space="preserve"> </v>
      </c>
    </row>
    <row r="211" spans="6:6">
      <c r="F211" s="26" t="str">
        <f t="shared" si="36"/>
        <v xml:space="preserve"> </v>
      </c>
    </row>
    <row r="212" spans="6:6">
      <c r="F212" s="26" t="str">
        <f t="shared" si="36"/>
        <v xml:space="preserve"> </v>
      </c>
    </row>
    <row r="213" spans="6:6">
      <c r="F213" s="26" t="str">
        <f t="shared" si="36"/>
        <v xml:space="preserve"> </v>
      </c>
    </row>
    <row r="214" spans="6:6">
      <c r="F214" s="26" t="str">
        <f t="shared" si="36"/>
        <v xml:space="preserve"> </v>
      </c>
    </row>
    <row r="215" spans="6:6">
      <c r="F215" s="26" t="str">
        <f t="shared" si="36"/>
        <v xml:space="preserve"> </v>
      </c>
    </row>
    <row r="216" spans="6:6">
      <c r="F216" s="26" t="str">
        <f t="shared" si="36"/>
        <v xml:space="preserve"> </v>
      </c>
    </row>
    <row r="217" spans="6:6">
      <c r="F217" s="26" t="str">
        <f t="shared" si="36"/>
        <v xml:space="preserve"> </v>
      </c>
    </row>
  </sheetData>
  <mergeCells count="1">
    <mergeCell ref="I5:P5"/>
  </mergeCells>
  <phoneticPr fontId="85" type="noConversion"/>
  <pageMargins left="0.7" right="0.7" top="0.75" bottom="0.75" header="0.3" footer="0.3"/>
  <pageSetup paperSize="9" orientation="portrait" r:id="rId1"/>
  <headerFooter>
    <oddFooter>&amp;C&amp;"Calibri"&amp;11&amp;K000000&amp;"Calibri"&amp;11&amp;K000000&amp;"Calibri"&amp;11&amp;K000000&amp;10&amp;K663300Classification: &amp;K000000 Internal  داخلي_x000D_&amp;1#&amp;"Calibri"&amp;10&amp;K000000Internal - داخلي</oddFooter>
    <evenFooter>&amp;C&amp;10&amp;K663300Classification: &amp;K000000 Internal  داخلي</evenFooter>
    <firstFooter>&amp;C&amp;10&amp;K663300Classification: &amp;K000000 Internal  داخلي</firstFooter>
  </headerFooter>
  <drawing r:id="rId2"/>
  <tableParts count="1">
    <tablePart r:id="rId3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17">
    <pageSetUpPr autoPageBreaks="0"/>
  </sheetPr>
  <dimension ref="A1:J104"/>
  <sheetViews>
    <sheetView showGridLines="0" rightToLeft="1" topLeftCell="A88" zoomScaleNormal="100" workbookViewId="0">
      <selection activeCell="C93" sqref="C93"/>
    </sheetView>
  </sheetViews>
  <sheetFormatPr defaultColWidth="9.140625" defaultRowHeight="15"/>
  <cols>
    <col min="1" max="1" width="22.85546875" style="26" customWidth="1"/>
    <col min="2" max="2" width="27.42578125" style="26" customWidth="1"/>
    <col min="3" max="3" width="35.42578125" style="26" customWidth="1"/>
    <col min="4" max="4" width="43.85546875" style="26" customWidth="1"/>
    <col min="5" max="5" width="19.42578125" style="26" customWidth="1"/>
    <col min="6" max="6" width="11.42578125" style="26" customWidth="1"/>
    <col min="7" max="16384" width="9.140625" style="26"/>
  </cols>
  <sheetData>
    <row r="1" spans="1:8">
      <c r="B1" s="28"/>
      <c r="C1" s="28"/>
      <c r="D1" s="28"/>
    </row>
    <row r="2" spans="1:8" ht="15.75">
      <c r="A2" s="29"/>
      <c r="B2" s="29"/>
      <c r="C2" s="29"/>
      <c r="D2" s="29"/>
      <c r="E2" s="29"/>
      <c r="F2" s="29"/>
      <c r="G2" s="29"/>
      <c r="H2" s="30"/>
    </row>
    <row r="3" spans="1:8" ht="15.75">
      <c r="A3" s="29"/>
      <c r="B3" s="29"/>
      <c r="C3" s="29"/>
      <c r="D3" s="29"/>
      <c r="E3" s="29"/>
      <c r="F3" s="29"/>
      <c r="G3" s="29"/>
      <c r="H3" s="30"/>
    </row>
    <row r="5" spans="1:8" ht="54.75" customHeight="1">
      <c r="B5" s="191" t="s">
        <v>684</v>
      </c>
      <c r="C5" s="191"/>
      <c r="D5" s="191"/>
      <c r="E5" s="95"/>
    </row>
    <row r="6" spans="1:8" ht="39.75" customHeight="1">
      <c r="B6" s="95"/>
      <c r="C6" s="95"/>
      <c r="D6" s="95"/>
      <c r="E6" s="95"/>
    </row>
    <row r="8" spans="1:8" ht="58.5" customHeight="1" thickBot="1">
      <c r="A8" s="131" t="s">
        <v>126</v>
      </c>
      <c r="B8" s="104" t="s">
        <v>124</v>
      </c>
      <c r="C8" s="104" t="s">
        <v>125</v>
      </c>
      <c r="D8" s="104" t="s">
        <v>104</v>
      </c>
    </row>
    <row r="9" spans="1:8" ht="50.25" customHeight="1" thickTop="1" thickBot="1">
      <c r="A9" s="130" t="s">
        <v>127</v>
      </c>
      <c r="B9" s="99">
        <v>1734074.96</v>
      </c>
      <c r="C9" s="99">
        <v>279021.68</v>
      </c>
      <c r="D9" s="82">
        <v>2013096.64</v>
      </c>
    </row>
    <row r="10" spans="1:8" ht="50.25" customHeight="1" thickTop="1" thickBot="1">
      <c r="A10" s="130" t="s">
        <v>128</v>
      </c>
      <c r="B10" s="84">
        <f>(B9/$D9)*100</f>
        <v>86.139677824905618</v>
      </c>
      <c r="C10" s="84">
        <f>(C9/$D9)*100</f>
        <v>13.860322175094385</v>
      </c>
      <c r="D10" s="82">
        <v>100</v>
      </c>
    </row>
    <row r="11" spans="1:8" ht="50.25" customHeight="1" thickTop="1" thickBot="1">
      <c r="A11" s="130" t="s">
        <v>129</v>
      </c>
      <c r="B11" s="99">
        <v>1444316.89</v>
      </c>
      <c r="C11" s="99">
        <v>222726.62</v>
      </c>
      <c r="D11" s="82">
        <v>1667043.51</v>
      </c>
    </row>
    <row r="12" spans="1:8" ht="50.25" customHeight="1" thickTop="1" thickBot="1">
      <c r="A12" s="130" t="s">
        <v>130</v>
      </c>
      <c r="B12" s="84">
        <f>(B11/$D11)*100</f>
        <v>86.639423706463418</v>
      </c>
      <c r="C12" s="84">
        <f>(C11/$D11)*100</f>
        <v>13.360576293536575</v>
      </c>
      <c r="D12" s="82">
        <v>100</v>
      </c>
    </row>
    <row r="13" spans="1:8" ht="50.25" customHeight="1" thickTop="1" thickBot="1">
      <c r="A13" s="130" t="s">
        <v>551</v>
      </c>
      <c r="B13" s="99">
        <v>1363059.13</v>
      </c>
      <c r="C13" s="99">
        <v>216000.33</v>
      </c>
      <c r="D13" s="82">
        <v>1579059.46</v>
      </c>
    </row>
    <row r="14" spans="1:8" ht="50.25" customHeight="1" thickTop="1" thickBot="1">
      <c r="A14" s="130" t="s">
        <v>552</v>
      </c>
      <c r="B14" s="84">
        <f>(B13/$D13)*100</f>
        <v>86.320950193984459</v>
      </c>
      <c r="C14" s="84">
        <f>(C13/$D13)*100</f>
        <v>13.679049806015536</v>
      </c>
      <c r="D14" s="82">
        <v>100</v>
      </c>
    </row>
    <row r="15" spans="1:8" ht="50.25" customHeight="1" thickTop="1" thickBot="1">
      <c r="A15" s="130" t="s">
        <v>173</v>
      </c>
      <c r="B15" s="99">
        <v>1236578.9800219999</v>
      </c>
      <c r="C15" s="99">
        <v>200710.742589</v>
      </c>
      <c r="D15" s="82">
        <v>1437289.72</v>
      </c>
    </row>
    <row r="16" spans="1:8" ht="50.25" customHeight="1" thickTop="1" thickBot="1">
      <c r="A16" s="130" t="s">
        <v>174</v>
      </c>
      <c r="B16" s="84">
        <f>(B15/$D15)*100</f>
        <v>86.035470985070432</v>
      </c>
      <c r="C16" s="84">
        <f>(C15/$D15)*100</f>
        <v>13.964529196590927</v>
      </c>
      <c r="D16" s="82">
        <v>100</v>
      </c>
    </row>
    <row r="17" spans="1:4" ht="50.25" customHeight="1" thickTop="1" thickBot="1">
      <c r="A17" s="130" t="s">
        <v>133</v>
      </c>
      <c r="B17" s="99">
        <v>1294279.096192</v>
      </c>
      <c r="C17" s="99">
        <v>210067.20264199999</v>
      </c>
      <c r="D17" s="82">
        <v>1504346.3</v>
      </c>
    </row>
    <row r="18" spans="1:4" ht="50.25" customHeight="1" thickTop="1" thickBot="1">
      <c r="A18" s="130" t="s">
        <v>134</v>
      </c>
      <c r="B18" s="84">
        <f>(B17/$D17)*100</f>
        <v>86.035980956778374</v>
      </c>
      <c r="C18" s="84">
        <f>(C17/$D17)*100</f>
        <v>13.96401896571288</v>
      </c>
      <c r="D18" s="82">
        <v>100</v>
      </c>
    </row>
    <row r="19" spans="1:4" ht="50.25" customHeight="1" thickTop="1" thickBot="1">
      <c r="A19" s="130" t="s">
        <v>175</v>
      </c>
      <c r="B19" s="99">
        <v>1143938.8433507499</v>
      </c>
      <c r="C19" s="99">
        <v>180713.72657534</v>
      </c>
      <c r="D19" s="82">
        <v>1324652.57</v>
      </c>
    </row>
    <row r="20" spans="1:4" ht="50.25" customHeight="1" thickTop="1" thickBot="1">
      <c r="A20" s="130" t="s">
        <v>176</v>
      </c>
      <c r="B20" s="84">
        <f>(B19/$D19)*100</f>
        <v>86.357650999065356</v>
      </c>
      <c r="C20" s="84">
        <f>(C19/$D19)*100</f>
        <v>13.642348995355061</v>
      </c>
      <c r="D20" s="82">
        <v>100</v>
      </c>
    </row>
    <row r="21" spans="1:4" ht="50.25" customHeight="1" thickTop="1" thickBot="1">
      <c r="A21" s="130" t="s">
        <v>553</v>
      </c>
      <c r="B21" s="99">
        <v>1461742.2171777699</v>
      </c>
      <c r="C21" s="99">
        <v>220207.33448784001</v>
      </c>
      <c r="D21" s="82">
        <v>1681949.5516656099</v>
      </c>
    </row>
    <row r="22" spans="1:4" ht="50.25" customHeight="1" thickTop="1" thickBot="1">
      <c r="A22" s="130" t="s">
        <v>554</v>
      </c>
      <c r="B22" s="84">
        <f>(B21/$D21)*100</f>
        <v>86.907613592228614</v>
      </c>
      <c r="C22" s="84">
        <f>(C21/$D21)*100</f>
        <v>13.092386407771381</v>
      </c>
      <c r="D22" s="82">
        <v>100</v>
      </c>
    </row>
    <row r="23" spans="1:4" ht="50.25" customHeight="1" thickTop="1" thickBot="1">
      <c r="A23" s="130" t="s">
        <v>137</v>
      </c>
      <c r="B23" s="99">
        <v>1424204.2056672201</v>
      </c>
      <c r="C23" s="99">
        <v>213840.18996858003</v>
      </c>
      <c r="D23" s="82">
        <v>1638044.3956358</v>
      </c>
    </row>
    <row r="24" spans="1:4" ht="50.25" customHeight="1" thickTop="1" thickBot="1">
      <c r="A24" s="130" t="s">
        <v>138</v>
      </c>
      <c r="B24" s="84">
        <f>(B23/$D23)*100</f>
        <v>86.945397173708557</v>
      </c>
      <c r="C24" s="84">
        <f>(C23/$D23)*100</f>
        <v>13.054602826291461</v>
      </c>
      <c r="D24" s="82">
        <v>100</v>
      </c>
    </row>
    <row r="25" spans="1:4" ht="50.25" customHeight="1" thickTop="1" thickBot="1">
      <c r="A25" s="130" t="s">
        <v>139</v>
      </c>
      <c r="B25" s="85">
        <v>1543021.11190966</v>
      </c>
      <c r="C25" s="85">
        <v>220970.34206859008</v>
      </c>
      <c r="D25" s="82">
        <f>B25+C25</f>
        <v>1763991.45397825</v>
      </c>
    </row>
    <row r="26" spans="1:4" ht="50.25" customHeight="1" thickTop="1" thickBot="1">
      <c r="A26" s="130" t="s">
        <v>140</v>
      </c>
      <c r="B26" s="84">
        <f>(B25/$D25)*100</f>
        <v>87.473275929413063</v>
      </c>
      <c r="C26" s="84">
        <f>(C25/$D25)*100</f>
        <v>12.526724070586944</v>
      </c>
      <c r="D26" s="82">
        <f>B26+C26</f>
        <v>100</v>
      </c>
    </row>
    <row r="27" spans="1:4" ht="50.25" customHeight="1" thickTop="1" thickBot="1">
      <c r="A27" s="130" t="s">
        <v>141</v>
      </c>
      <c r="B27" s="86">
        <v>1505994.41</v>
      </c>
      <c r="C27" s="86">
        <v>215215.89</v>
      </c>
      <c r="D27" s="82">
        <v>1721210.3</v>
      </c>
    </row>
    <row r="28" spans="1:4" ht="50.25" customHeight="1" thickTop="1" thickBot="1">
      <c r="A28" s="130" t="s">
        <v>142</v>
      </c>
      <c r="B28" s="84">
        <f>(B27/$D27)*100</f>
        <v>87.496246681768056</v>
      </c>
      <c r="C28" s="84">
        <f>(C27/$D27)*100</f>
        <v>12.503753318231944</v>
      </c>
      <c r="D28" s="82">
        <v>100</v>
      </c>
    </row>
    <row r="29" spans="1:4" ht="50.25" customHeight="1" thickTop="1" thickBot="1">
      <c r="A29" s="130" t="s">
        <v>555</v>
      </c>
      <c r="B29" s="86">
        <v>1474166.24</v>
      </c>
      <c r="C29" s="86">
        <v>215436.76</v>
      </c>
      <c r="D29" s="82">
        <v>1689603</v>
      </c>
    </row>
    <row r="30" spans="1:4" ht="50.25" customHeight="1" thickTop="1" thickBot="1">
      <c r="A30" s="130" t="s">
        <v>556</v>
      </c>
      <c r="B30" s="84">
        <f>(B29/$D29)*100</f>
        <v>87.249267431461703</v>
      </c>
      <c r="C30" s="84">
        <f>(C29/$D29)*100</f>
        <v>12.75073256853829</v>
      </c>
      <c r="D30" s="82">
        <v>100</v>
      </c>
    </row>
    <row r="31" spans="1:4" ht="50.25" customHeight="1" thickTop="1" thickBot="1">
      <c r="A31" s="130" t="s">
        <v>177</v>
      </c>
      <c r="B31" s="86">
        <v>1636028.41979</v>
      </c>
      <c r="C31" s="86">
        <v>230208.40603400001</v>
      </c>
      <c r="D31" s="82">
        <v>1866236.8258239999</v>
      </c>
    </row>
    <row r="32" spans="1:4" ht="50.25" customHeight="1" thickTop="1" thickBot="1">
      <c r="A32" s="130" t="s">
        <v>178</v>
      </c>
      <c r="B32" s="84">
        <f>(B31/$D31)*100</f>
        <v>87.664566316102139</v>
      </c>
      <c r="C32" s="84">
        <f>(C31/$D31)*100</f>
        <v>12.335433683897865</v>
      </c>
      <c r="D32" s="82">
        <f>SUM(B32:C32)</f>
        <v>100</v>
      </c>
    </row>
    <row r="33" spans="1:5" ht="50.25" customHeight="1" thickTop="1" thickBot="1">
      <c r="A33" s="130" t="s">
        <v>145</v>
      </c>
      <c r="B33" s="86">
        <v>1738484.60555</v>
      </c>
      <c r="C33" s="87">
        <v>243827.846662</v>
      </c>
      <c r="D33" s="82">
        <f>SUM(B33:C33)</f>
        <v>1982312.452212</v>
      </c>
    </row>
    <row r="34" spans="1:5" ht="50.25" customHeight="1" thickTop="1" thickBot="1">
      <c r="A34" s="130" t="s">
        <v>146</v>
      </c>
      <c r="B34" s="84">
        <f>(B33/$D33)*100</f>
        <v>87.699827724437668</v>
      </c>
      <c r="C34" s="84">
        <f>(C33/$D33)*100</f>
        <v>12.30017227556232</v>
      </c>
      <c r="D34" s="82">
        <f>SUM(B34:C34)</f>
        <v>99.999999999999986</v>
      </c>
    </row>
    <row r="35" spans="1:5" ht="50.25" customHeight="1" thickTop="1" thickBot="1">
      <c r="A35" s="130" t="s">
        <v>147</v>
      </c>
      <c r="B35" s="86">
        <v>1666752.044546</v>
      </c>
      <c r="C35" s="86">
        <v>232182.886871</v>
      </c>
      <c r="D35" s="82">
        <f>SUM(B35:C35)</f>
        <v>1898934.931417</v>
      </c>
    </row>
    <row r="36" spans="1:5" ht="50.25" customHeight="1" thickTop="1" thickBot="1">
      <c r="A36" s="130" t="s">
        <v>148</v>
      </c>
      <c r="B36" s="84">
        <v>87.772994059478208</v>
      </c>
      <c r="C36" s="84">
        <v>12.227005940521792</v>
      </c>
      <c r="D36" s="82">
        <v>100</v>
      </c>
      <c r="E36" s="36"/>
    </row>
    <row r="37" spans="1:5" ht="50.25" customHeight="1" thickTop="1" thickBot="1">
      <c r="A37" s="130" t="s">
        <v>557</v>
      </c>
      <c r="B37" s="86">
        <v>1634212.247098</v>
      </c>
      <c r="C37" s="86">
        <v>224323.21716999999</v>
      </c>
      <c r="D37" s="82">
        <f t="shared" ref="D37:D44" si="0">SUM(B37:C37)</f>
        <v>1858535.4642680001</v>
      </c>
    </row>
    <row r="38" spans="1:5" ht="50.25" customHeight="1" thickTop="1" thickBot="1">
      <c r="A38" s="130" t="s">
        <v>558</v>
      </c>
      <c r="B38" s="84">
        <f>(B37/$D37)*100</f>
        <v>87.930108330843623</v>
      </c>
      <c r="C38" s="84">
        <f>(C37/$D37)*100</f>
        <v>12.069891669156368</v>
      </c>
      <c r="D38" s="82">
        <f t="shared" si="0"/>
        <v>99.999999999999986</v>
      </c>
    </row>
    <row r="39" spans="1:5" ht="50.25" customHeight="1" thickTop="1" thickBot="1">
      <c r="A39" s="130" t="s">
        <v>149</v>
      </c>
      <c r="B39" s="86">
        <v>1841449.259935</v>
      </c>
      <c r="C39" s="86">
        <v>245559.49750100001</v>
      </c>
      <c r="D39" s="82">
        <f t="shared" si="0"/>
        <v>2087008.757436</v>
      </c>
    </row>
    <row r="40" spans="1:5" ht="50.25" customHeight="1" thickTop="1" thickBot="1">
      <c r="A40" s="130" t="s">
        <v>150</v>
      </c>
      <c r="B40" s="84">
        <f>(B39/$D39)*100</f>
        <v>88.233901912194995</v>
      </c>
      <c r="C40" s="84">
        <f>(C39/$D39)*100</f>
        <v>11.766098087804997</v>
      </c>
      <c r="D40" s="82">
        <f t="shared" si="0"/>
        <v>99.999999999999986</v>
      </c>
    </row>
    <row r="41" spans="1:5" ht="50.25" customHeight="1" thickTop="1" thickBot="1">
      <c r="A41" s="130" t="s">
        <v>151</v>
      </c>
      <c r="B41" s="86">
        <v>1837695.6529039999</v>
      </c>
      <c r="C41" s="86">
        <v>243382.619362</v>
      </c>
      <c r="D41" s="82">
        <f t="shared" si="0"/>
        <v>2081078.2722659998</v>
      </c>
    </row>
    <row r="42" spans="1:5" ht="50.25" customHeight="1" thickTop="1" thickBot="1">
      <c r="A42" s="130" t="s">
        <v>152</v>
      </c>
      <c r="B42" s="84">
        <f>(B41/$D41)*100</f>
        <v>88.304975233007895</v>
      </c>
      <c r="C42" s="84">
        <f>(C41/$D41)*100</f>
        <v>11.695024766992102</v>
      </c>
      <c r="D42" s="82">
        <f t="shared" si="0"/>
        <v>100</v>
      </c>
    </row>
    <row r="43" spans="1:5" ht="50.25" customHeight="1" thickTop="1" thickBot="1">
      <c r="A43" s="130" t="s">
        <v>153</v>
      </c>
      <c r="B43" s="86">
        <v>1662126.315003</v>
      </c>
      <c r="C43" s="86">
        <v>246321.21839600001</v>
      </c>
      <c r="D43" s="82">
        <f t="shared" si="0"/>
        <v>1908447.5333990001</v>
      </c>
    </row>
    <row r="44" spans="1:5" ht="50.25" customHeight="1" thickTop="1" thickBot="1">
      <c r="A44" s="130" t="s">
        <v>154</v>
      </c>
      <c r="B44" s="84">
        <f>(B43/$D43)*100</f>
        <v>87.093110285442592</v>
      </c>
      <c r="C44" s="84">
        <f>(C43/$D43)*100</f>
        <v>12.906889714557405</v>
      </c>
      <c r="D44" s="82">
        <f t="shared" si="0"/>
        <v>100</v>
      </c>
    </row>
    <row r="45" spans="1:5" ht="50.25" customHeight="1" thickTop="1" thickBot="1">
      <c r="A45" s="130" t="s">
        <v>559</v>
      </c>
      <c r="B45" s="86">
        <v>8740441.8612970002</v>
      </c>
      <c r="C45" s="86">
        <v>284996.808044</v>
      </c>
      <c r="D45" s="82">
        <f t="shared" ref="D45:D50" si="1">SUM(B45:C45)</f>
        <v>9025438.6693409998</v>
      </c>
    </row>
    <row r="46" spans="1:5" ht="50.25" customHeight="1" thickTop="1" thickBot="1">
      <c r="A46" s="130" t="s">
        <v>560</v>
      </c>
      <c r="B46" s="84">
        <v>96.84229411461051</v>
      </c>
      <c r="C46" s="84">
        <v>3.1577058853894937</v>
      </c>
      <c r="D46" s="82">
        <f t="shared" si="1"/>
        <v>100</v>
      </c>
    </row>
    <row r="47" spans="1:5" ht="50.25" customHeight="1" thickTop="1" thickBot="1">
      <c r="A47" s="130" t="s">
        <v>155</v>
      </c>
      <c r="B47" s="86">
        <v>7330373.6997309998</v>
      </c>
      <c r="C47" s="86">
        <v>231594.66597100001</v>
      </c>
      <c r="D47" s="82">
        <f t="shared" si="1"/>
        <v>7561968.3657019995</v>
      </c>
    </row>
    <row r="48" spans="1:5" ht="50.25" customHeight="1" thickTop="1" thickBot="1">
      <c r="A48" s="130" t="s">
        <v>156</v>
      </c>
      <c r="B48" s="84">
        <v>96.937375895125157</v>
      </c>
      <c r="C48" s="84">
        <v>3.0626241048748475</v>
      </c>
      <c r="D48" s="82">
        <f t="shared" si="1"/>
        <v>100</v>
      </c>
    </row>
    <row r="49" spans="1:4" ht="50.25" customHeight="1" thickTop="1" thickBot="1">
      <c r="A49" s="130" t="s">
        <v>157</v>
      </c>
      <c r="B49" s="86">
        <v>7977361.9804260004</v>
      </c>
      <c r="C49" s="86">
        <v>254469.03582700001</v>
      </c>
      <c r="D49" s="82">
        <f t="shared" si="1"/>
        <v>8231831.0162530001</v>
      </c>
    </row>
    <row r="50" spans="1:4" ht="50.25" customHeight="1" thickTop="1" thickBot="1">
      <c r="A50" s="130" t="s">
        <v>158</v>
      </c>
      <c r="B50" s="84">
        <v>96.908718906831595</v>
      </c>
      <c r="C50" s="84">
        <v>3.0912810931683863</v>
      </c>
      <c r="D50" s="82">
        <f t="shared" si="1"/>
        <v>99.999999999999986</v>
      </c>
    </row>
    <row r="51" spans="1:4" ht="50.25" customHeight="1" thickTop="1" thickBot="1">
      <c r="A51" s="130" t="s">
        <v>159</v>
      </c>
      <c r="B51" s="86">
        <v>8824380.7142140009</v>
      </c>
      <c r="C51" s="86">
        <v>305805.87498000002</v>
      </c>
      <c r="D51" s="82">
        <f t="shared" ref="D51:D57" si="2">SUM(B51:C51)</f>
        <v>9130186.5891940016</v>
      </c>
    </row>
    <row r="52" spans="1:4" ht="50.25" customHeight="1" thickTop="1" thickBot="1">
      <c r="A52" s="130" t="s">
        <v>160</v>
      </c>
      <c r="B52" s="84">
        <v>96.650606512884025</v>
      </c>
      <c r="C52" s="84">
        <v>3.3493934871159743</v>
      </c>
      <c r="D52" s="82">
        <f t="shared" si="2"/>
        <v>100</v>
      </c>
    </row>
    <row r="53" spans="1:4" ht="50.25" customHeight="1" thickTop="1" thickBot="1">
      <c r="A53" s="83" t="s">
        <v>561</v>
      </c>
      <c r="B53" s="86">
        <v>8783974.6189159993</v>
      </c>
      <c r="C53" s="86">
        <v>317192.19571300002</v>
      </c>
      <c r="D53" s="82">
        <f t="shared" si="2"/>
        <v>9101166.8146289997</v>
      </c>
    </row>
    <row r="54" spans="1:4" ht="50.25" customHeight="1" thickTop="1" thickBot="1">
      <c r="A54" s="83" t="s">
        <v>562</v>
      </c>
      <c r="B54" s="84">
        <v>96.514818350509159</v>
      </c>
      <c r="C54" s="84">
        <v>3.4851816494908414</v>
      </c>
      <c r="D54" s="82">
        <f t="shared" si="2"/>
        <v>100</v>
      </c>
    </row>
    <row r="55" spans="1:4" ht="50.25" customHeight="1" thickTop="1" thickBot="1">
      <c r="A55" s="83" t="s">
        <v>161</v>
      </c>
      <c r="B55" s="86">
        <v>9270986.5174109992</v>
      </c>
      <c r="C55" s="86">
        <v>360032.62237900001</v>
      </c>
      <c r="D55" s="82">
        <f t="shared" si="2"/>
        <v>9631019.1397899985</v>
      </c>
    </row>
    <row r="56" spans="1:4" ht="50.25" customHeight="1" thickTop="1" thickBot="1">
      <c r="A56" s="83" t="s">
        <v>162</v>
      </c>
      <c r="B56" s="84">
        <v>96.261739104104294</v>
      </c>
      <c r="C56" s="84">
        <v>3.7382608958957011</v>
      </c>
      <c r="D56" s="82">
        <f t="shared" si="2"/>
        <v>100</v>
      </c>
    </row>
    <row r="57" spans="1:4" ht="50.25" customHeight="1" thickTop="1" thickBot="1">
      <c r="A57" s="83" t="s">
        <v>163</v>
      </c>
      <c r="B57" s="86">
        <v>9327808.1166769993</v>
      </c>
      <c r="C57" s="86">
        <v>393810.478199</v>
      </c>
      <c r="D57" s="82">
        <f t="shared" si="2"/>
        <v>9721618.5948759988</v>
      </c>
    </row>
    <row r="58" spans="1:4" ht="50.25" customHeight="1" thickTop="1" thickBot="1">
      <c r="A58" s="83" t="s">
        <v>164</v>
      </c>
      <c r="B58" s="84">
        <v>95.949126430381</v>
      </c>
      <c r="C58" s="84">
        <v>4.0508735696190223</v>
      </c>
      <c r="D58" s="82">
        <f t="shared" ref="D58:D66" si="3">SUM(B58:C58)</f>
        <v>100.00000000000003</v>
      </c>
    </row>
    <row r="59" spans="1:4" ht="50.25" customHeight="1" thickTop="1" thickBot="1">
      <c r="A59" s="83" t="s">
        <v>165</v>
      </c>
      <c r="B59" s="86">
        <v>9657049.2426999994</v>
      </c>
      <c r="C59" s="86">
        <v>413970.34823100001</v>
      </c>
      <c r="D59" s="82">
        <f t="shared" si="3"/>
        <v>10071019.590931</v>
      </c>
    </row>
    <row r="60" spans="1:4" ht="50.25" customHeight="1" thickTop="1" thickBot="1">
      <c r="A60" s="83" t="s">
        <v>166</v>
      </c>
      <c r="B60" s="84">
        <v>95.889489197262776</v>
      </c>
      <c r="C60" s="84">
        <v>4.110510802737215</v>
      </c>
      <c r="D60" s="82">
        <f t="shared" si="3"/>
        <v>99.999999999999986</v>
      </c>
    </row>
    <row r="61" spans="1:4" ht="50.25" customHeight="1" thickTop="1" thickBot="1">
      <c r="A61" s="83" t="s">
        <v>563</v>
      </c>
      <c r="B61" s="86">
        <v>9591320.6743170004</v>
      </c>
      <c r="C61" s="86">
        <v>416740.47614400001</v>
      </c>
      <c r="D61" s="82">
        <f t="shared" si="3"/>
        <v>10008061.150461001</v>
      </c>
    </row>
    <row r="62" spans="1:4" ht="50.25" customHeight="1" thickTop="1" thickBot="1">
      <c r="A62" s="83" t="s">
        <v>564</v>
      </c>
      <c r="B62" s="84">
        <f>(B61/$D$61)*100</f>
        <v>95.835951940353553</v>
      </c>
      <c r="C62" s="84">
        <f>(C61/$D$61)*100</f>
        <v>4.1640480596464347</v>
      </c>
      <c r="D62" s="82">
        <f t="shared" si="3"/>
        <v>99.999999999999986</v>
      </c>
    </row>
    <row r="63" spans="1:4" ht="50.25" customHeight="1" thickTop="1" thickBot="1">
      <c r="A63" s="83" t="s">
        <v>167</v>
      </c>
      <c r="B63" s="86">
        <v>11521221.029170001</v>
      </c>
      <c r="C63" s="86">
        <v>442194.86529099999</v>
      </c>
      <c r="D63" s="82">
        <f t="shared" si="3"/>
        <v>11963415.894461</v>
      </c>
    </row>
    <row r="64" spans="1:4" ht="50.25" customHeight="1" thickTop="1" thickBot="1">
      <c r="A64" s="83" t="s">
        <v>168</v>
      </c>
      <c r="B64" s="84">
        <v>96.303774196333563</v>
      </c>
      <c r="C64" s="84">
        <v>3.6962258036664419</v>
      </c>
      <c r="D64" s="82">
        <f t="shared" si="3"/>
        <v>100</v>
      </c>
    </row>
    <row r="65" spans="1:10" ht="50.25" customHeight="1" thickTop="1" thickBot="1">
      <c r="A65" s="83" t="s">
        <v>169</v>
      </c>
      <c r="B65" s="86">
        <v>11050918.26</v>
      </c>
      <c r="C65" s="86">
        <v>381437.52</v>
      </c>
      <c r="D65" s="82">
        <f t="shared" si="3"/>
        <v>11432355.779999999</v>
      </c>
    </row>
    <row r="66" spans="1:10" ht="50.25" customHeight="1" thickTop="1" thickBot="1">
      <c r="A66" s="83" t="s">
        <v>170</v>
      </c>
      <c r="B66" s="84">
        <v>96.66</v>
      </c>
      <c r="C66" s="84">
        <v>3.34</v>
      </c>
      <c r="D66" s="82">
        <f t="shared" si="3"/>
        <v>100</v>
      </c>
    </row>
    <row r="67" spans="1:10" ht="50.25" customHeight="1" thickTop="1" thickBot="1">
      <c r="A67" s="83" t="s">
        <v>171</v>
      </c>
      <c r="B67" s="86">
        <v>10428347.417368</v>
      </c>
      <c r="C67" s="86">
        <v>404504.600317</v>
      </c>
      <c r="D67" s="82">
        <f t="shared" ref="D67:D84" si="4">SUM(B67:C67)</f>
        <v>10832852.017685</v>
      </c>
    </row>
    <row r="68" spans="1:10" ht="50.25" customHeight="1" thickTop="1" thickBot="1">
      <c r="A68" s="83" t="s">
        <v>172</v>
      </c>
      <c r="B68" s="134">
        <f>(B67/$D$67)*100</f>
        <v>96.2659454808703</v>
      </c>
      <c r="C68" s="134">
        <f>(C67/$D$67)*100</f>
        <v>3.7340545191297037</v>
      </c>
      <c r="D68" s="135">
        <f t="shared" si="4"/>
        <v>100</v>
      </c>
    </row>
    <row r="69" spans="1:10" ht="50.25" customHeight="1" thickTop="1" thickBot="1">
      <c r="A69" s="73" t="s">
        <v>565</v>
      </c>
      <c r="B69" s="86">
        <v>9502943.6265370008</v>
      </c>
      <c r="C69" s="86">
        <v>375157.77243900002</v>
      </c>
      <c r="D69" s="135">
        <f t="shared" si="4"/>
        <v>9878101.398976</v>
      </c>
      <c r="E69" s="42"/>
    </row>
    <row r="70" spans="1:10" ht="53.25" customHeight="1" thickTop="1" thickBot="1">
      <c r="A70" s="73" t="s">
        <v>566</v>
      </c>
      <c r="B70" s="84">
        <v>96.202126731783807</v>
      </c>
      <c r="C70" s="84">
        <v>3.7978732682162</v>
      </c>
      <c r="D70" s="135">
        <f t="shared" si="4"/>
        <v>100</v>
      </c>
      <c r="E70" s="138"/>
    </row>
    <row r="71" spans="1:10" ht="58.5" customHeight="1" thickTop="1" thickBot="1">
      <c r="A71" s="73" t="s">
        <v>426</v>
      </c>
      <c r="B71" s="86">
        <v>9602957.9312459994</v>
      </c>
      <c r="C71" s="86">
        <v>381508.425873</v>
      </c>
      <c r="D71" s="135">
        <f t="shared" si="4"/>
        <v>9984466.3571189996</v>
      </c>
      <c r="E71" s="44"/>
    </row>
    <row r="72" spans="1:10" ht="58.5" customHeight="1" thickTop="1" thickBot="1">
      <c r="A72" s="73" t="s">
        <v>427</v>
      </c>
      <c r="B72" s="86">
        <v>96.178980305732793</v>
      </c>
      <c r="C72" s="86">
        <v>3.8210196942672017</v>
      </c>
      <c r="D72" s="135">
        <f t="shared" si="4"/>
        <v>100</v>
      </c>
      <c r="E72" s="44"/>
    </row>
    <row r="73" spans="1:10" ht="55.5" customHeight="1" thickTop="1" thickBot="1">
      <c r="A73" s="73" t="s">
        <v>442</v>
      </c>
      <c r="B73" s="86">
        <v>10489633.976360001</v>
      </c>
      <c r="C73" s="86">
        <v>411053.71920200001</v>
      </c>
      <c r="D73" s="135">
        <f t="shared" si="4"/>
        <v>10900687.695562001</v>
      </c>
      <c r="E73" s="44"/>
      <c r="F73" s="136"/>
      <c r="G73" s="132"/>
      <c r="H73" s="132"/>
      <c r="I73" s="132"/>
      <c r="J73" s="132"/>
    </row>
    <row r="74" spans="1:10" ht="55.5" customHeight="1" thickTop="1" thickBot="1">
      <c r="A74" s="73" t="s">
        <v>443</v>
      </c>
      <c r="B74" s="134">
        <v>96.229102872387102</v>
      </c>
      <c r="C74" s="134">
        <v>3.7708971276128969</v>
      </c>
      <c r="D74" s="135">
        <f t="shared" si="4"/>
        <v>100</v>
      </c>
      <c r="E74" s="44"/>
      <c r="F74" s="136"/>
      <c r="G74" s="132"/>
      <c r="H74" s="132"/>
      <c r="I74" s="132"/>
      <c r="J74" s="132"/>
    </row>
    <row r="75" spans="1:10" ht="63" customHeight="1" thickTop="1" thickBot="1">
      <c r="A75" s="83" t="s">
        <v>453</v>
      </c>
      <c r="B75" s="86">
        <v>11011282.003619</v>
      </c>
      <c r="C75" s="86">
        <v>399245.84766299999</v>
      </c>
      <c r="D75" s="135">
        <f t="shared" si="4"/>
        <v>11410527.851282001</v>
      </c>
      <c r="F75" s="136"/>
      <c r="G75" s="132"/>
      <c r="H75" s="132"/>
      <c r="I75" s="132"/>
      <c r="J75" s="132"/>
    </row>
    <row r="76" spans="1:10" ht="62.25" customHeight="1" thickTop="1" thickBot="1">
      <c r="A76" s="73" t="s">
        <v>454</v>
      </c>
      <c r="B76" s="134">
        <v>96.501074684129151</v>
      </c>
      <c r="C76" s="134">
        <v>3.4989253158708498</v>
      </c>
      <c r="D76" s="135">
        <f t="shared" si="4"/>
        <v>100</v>
      </c>
      <c r="F76" s="136"/>
      <c r="G76" s="132"/>
      <c r="H76" s="132"/>
      <c r="I76" s="132"/>
      <c r="J76" s="132"/>
    </row>
    <row r="77" spans="1:10" ht="62.25" customHeight="1" thickTop="1" thickBot="1">
      <c r="A77" s="73" t="s">
        <v>567</v>
      </c>
      <c r="B77" s="86">
        <v>10830622.484286999</v>
      </c>
      <c r="C77" s="86">
        <v>428697.35355</v>
      </c>
      <c r="D77" s="135">
        <f t="shared" si="4"/>
        <v>11259319.837836999</v>
      </c>
      <c r="F77" s="137"/>
      <c r="G77" s="133"/>
      <c r="H77" s="133"/>
      <c r="I77" s="133"/>
      <c r="J77" s="133"/>
    </row>
    <row r="78" spans="1:10" ht="63" customHeight="1" thickTop="1" thickBot="1">
      <c r="A78" s="73" t="s">
        <v>568</v>
      </c>
      <c r="B78" s="134">
        <v>96.192511095480555</v>
      </c>
      <c r="C78" s="134">
        <v>3.8074889045194404</v>
      </c>
      <c r="D78" s="135">
        <f t="shared" si="4"/>
        <v>100</v>
      </c>
    </row>
    <row r="79" spans="1:10" ht="63" customHeight="1" thickTop="1" thickBot="1">
      <c r="A79" s="83" t="s">
        <v>585</v>
      </c>
      <c r="B79" s="86">
        <v>10500375.441638</v>
      </c>
      <c r="C79" s="86">
        <v>438251.46797300002</v>
      </c>
      <c r="D79" s="135">
        <f t="shared" si="4"/>
        <v>10938626.909611</v>
      </c>
    </row>
    <row r="80" spans="1:10" ht="60.75" customHeight="1" thickTop="1" thickBot="1">
      <c r="A80" s="73" t="s">
        <v>586</v>
      </c>
      <c r="B80" s="134">
        <v>95.993542227974345</v>
      </c>
      <c r="C80" s="134">
        <v>4.0064577720256587</v>
      </c>
      <c r="D80" s="135">
        <f t="shared" si="4"/>
        <v>100</v>
      </c>
    </row>
    <row r="81" spans="1:8" ht="60.75" customHeight="1" thickTop="1" thickBot="1">
      <c r="A81" s="83" t="s">
        <v>588</v>
      </c>
      <c r="B81" s="86">
        <v>9615919.7042980008</v>
      </c>
      <c r="C81" s="86">
        <v>438926.91798799997</v>
      </c>
      <c r="D81" s="135">
        <f t="shared" si="4"/>
        <v>10054846.622286001</v>
      </c>
    </row>
    <row r="82" spans="1:8" ht="60.75" customHeight="1" thickTop="1" thickBot="1">
      <c r="A82" s="73" t="s">
        <v>589</v>
      </c>
      <c r="B82" s="134">
        <v>95.634673163336544</v>
      </c>
      <c r="C82" s="134">
        <v>4.3653268366634572</v>
      </c>
      <c r="D82" s="135">
        <f t="shared" si="4"/>
        <v>100</v>
      </c>
    </row>
    <row r="83" spans="1:8" ht="54.75" customHeight="1" thickTop="1" thickBot="1">
      <c r="A83" s="83" t="s">
        <v>597</v>
      </c>
      <c r="B83" s="86">
        <v>9651243.0839649998</v>
      </c>
      <c r="C83" s="86">
        <v>451482.34566200001</v>
      </c>
      <c r="D83" s="135">
        <f t="shared" si="4"/>
        <v>10102725.429626999</v>
      </c>
    </row>
    <row r="84" spans="1:8" ht="54.75" customHeight="1" thickTop="1" thickBot="1">
      <c r="A84" s="73" t="s">
        <v>598</v>
      </c>
      <c r="B84" s="134">
        <v>95.531083678291466</v>
      </c>
      <c r="C84" s="134">
        <v>4.4689163217085381</v>
      </c>
      <c r="D84" s="135">
        <f t="shared" si="4"/>
        <v>100</v>
      </c>
      <c r="E84" s="132"/>
    </row>
    <row r="85" spans="1:8" ht="52.5" thickTop="1" thickBot="1">
      <c r="A85" s="73" t="s">
        <v>604</v>
      </c>
      <c r="B85" s="84">
        <v>9745143.4100000001</v>
      </c>
      <c r="C85" s="84">
        <v>454910.12</v>
      </c>
      <c r="D85" s="135">
        <f>SUM(B85:C85)</f>
        <v>10200053.529999999</v>
      </c>
      <c r="E85" s="112"/>
      <c r="F85" s="112"/>
      <c r="G85" s="112"/>
      <c r="H85" s="112"/>
    </row>
    <row r="86" spans="1:8" ht="27" thickTop="1" thickBot="1">
      <c r="A86" s="73" t="s">
        <v>605</v>
      </c>
      <c r="B86" s="134">
        <v>95.54</v>
      </c>
      <c r="C86" s="134">
        <v>4.46</v>
      </c>
      <c r="D86" s="135">
        <f>SUM(B86:C86)</f>
        <v>100</v>
      </c>
      <c r="E86" s="112"/>
      <c r="F86" s="112"/>
      <c r="G86" s="112"/>
      <c r="H86" s="112"/>
    </row>
    <row r="87" spans="1:8" ht="27" thickTop="1" thickBot="1">
      <c r="A87" s="73" t="s">
        <v>610</v>
      </c>
      <c r="B87" s="134">
        <v>9451311.1500000004</v>
      </c>
      <c r="C87" s="134">
        <v>467381.63</v>
      </c>
      <c r="D87" s="135">
        <f>SUM(B87:C87)</f>
        <v>9918692.7800000012</v>
      </c>
      <c r="E87" s="112"/>
      <c r="F87" s="112"/>
      <c r="G87" s="112"/>
      <c r="H87" s="112"/>
    </row>
    <row r="88" spans="1:8" ht="27" thickTop="1" thickBot="1">
      <c r="A88" s="73" t="s">
        <v>618</v>
      </c>
      <c r="B88" s="134">
        <v>95.29</v>
      </c>
      <c r="C88" s="134">
        <v>4.71</v>
      </c>
      <c r="D88" s="135">
        <f>SUM(B88:C88)</f>
        <v>100</v>
      </c>
      <c r="E88" s="112"/>
      <c r="F88" s="112"/>
      <c r="G88" s="112"/>
      <c r="H88" s="112"/>
    </row>
    <row r="89" spans="1:8" ht="52.5" thickTop="1" thickBot="1">
      <c r="A89" s="83" t="s">
        <v>624</v>
      </c>
      <c r="B89" s="84">
        <v>8687939.5300859995</v>
      </c>
      <c r="C89" s="84">
        <v>438188.58299299999</v>
      </c>
      <c r="D89" s="82">
        <v>9126128.1130790003</v>
      </c>
      <c r="E89" s="112"/>
      <c r="F89" s="112"/>
      <c r="G89" s="112"/>
      <c r="H89" s="112"/>
    </row>
    <row r="90" spans="1:8" ht="27" thickTop="1" thickBot="1">
      <c r="A90" s="73" t="s">
        <v>625</v>
      </c>
      <c r="B90" s="134">
        <v>95.2</v>
      </c>
      <c r="C90" s="134">
        <v>4.8</v>
      </c>
      <c r="D90" s="135">
        <v>100</v>
      </c>
      <c r="E90" s="112"/>
      <c r="F90" s="112"/>
      <c r="G90" s="112"/>
      <c r="H90" s="112"/>
    </row>
    <row r="91" spans="1:8" ht="52.5" thickTop="1" thickBot="1">
      <c r="A91" s="83" t="s">
        <v>692</v>
      </c>
      <c r="B91" s="180">
        <v>8866646.9151789993</v>
      </c>
      <c r="C91" s="180">
        <v>451483.17270400003</v>
      </c>
      <c r="D91" s="181">
        <v>9318130.0878829993</v>
      </c>
      <c r="E91" s="112"/>
      <c r="F91" s="112"/>
      <c r="G91" s="112"/>
      <c r="H91" s="112"/>
    </row>
    <row r="92" spans="1:8" ht="27" thickTop="1" thickBot="1">
      <c r="A92" s="73" t="s">
        <v>693</v>
      </c>
      <c r="B92" s="180">
        <v>95.154787833547303</v>
      </c>
      <c r="C92" s="180">
        <v>4.8452121664527352</v>
      </c>
      <c r="D92" s="181">
        <v>100</v>
      </c>
      <c r="E92" s="132"/>
    </row>
    <row r="93" spans="1:8" ht="39.75" thickTop="1" thickBot="1">
      <c r="A93" s="83" t="s">
        <v>694</v>
      </c>
      <c r="B93" s="84">
        <v>8409382.6199999992</v>
      </c>
      <c r="C93" s="84">
        <v>408222.02</v>
      </c>
      <c r="D93" s="82">
        <v>8817604.6400000006</v>
      </c>
      <c r="E93" s="132"/>
    </row>
    <row r="94" spans="1:8" ht="27" thickTop="1" thickBot="1">
      <c r="A94" s="73" t="s">
        <v>697</v>
      </c>
      <c r="B94" s="84">
        <v>95.37</v>
      </c>
      <c r="C94" s="84">
        <v>4.63</v>
      </c>
      <c r="D94" s="82">
        <v>100</v>
      </c>
      <c r="E94" s="132"/>
    </row>
    <row r="95" spans="1:8" ht="15.75" thickTop="1">
      <c r="A95" s="26" t="s">
        <v>47</v>
      </c>
    </row>
    <row r="96" spans="1:8">
      <c r="A96" s="43" t="s">
        <v>0</v>
      </c>
      <c r="B96" s="44"/>
      <c r="C96" s="44"/>
      <c r="D96" s="44"/>
    </row>
    <row r="97" spans="1:4">
      <c r="A97" s="43" t="s">
        <v>51</v>
      </c>
      <c r="B97" s="44"/>
      <c r="C97" s="44"/>
      <c r="D97" s="44"/>
    </row>
    <row r="98" spans="1:4">
      <c r="A98" s="43" t="s">
        <v>52</v>
      </c>
      <c r="B98" s="44"/>
      <c r="C98" s="44"/>
      <c r="D98" s="44"/>
    </row>
    <row r="99" spans="1:4">
      <c r="A99" s="43" t="s">
        <v>23</v>
      </c>
      <c r="B99" s="44"/>
      <c r="C99" s="44"/>
      <c r="D99" s="44"/>
    </row>
    <row r="100" spans="1:4">
      <c r="B100" s="136"/>
      <c r="C100" s="136"/>
      <c r="D100" s="136" t="s">
        <v>20</v>
      </c>
    </row>
    <row r="101" spans="1:4">
      <c r="B101" s="136"/>
      <c r="C101" s="136"/>
      <c r="D101" s="136" t="s">
        <v>21</v>
      </c>
    </row>
    <row r="102" spans="1:4">
      <c r="B102" s="136"/>
      <c r="C102" s="136"/>
      <c r="D102" s="136" t="s">
        <v>22</v>
      </c>
    </row>
    <row r="103" spans="1:4">
      <c r="B103" s="136"/>
      <c r="C103" s="136"/>
      <c r="D103" s="136" t="s">
        <v>19</v>
      </c>
    </row>
    <row r="104" spans="1:4">
      <c r="D104" s="137" t="s">
        <v>24</v>
      </c>
    </row>
  </sheetData>
  <mergeCells count="1">
    <mergeCell ref="B5:D5"/>
  </mergeCells>
  <pageMargins left="0.7" right="0.7" top="0.75" bottom="0.75" header="0.3" footer="0.3"/>
  <pageSetup paperSize="9" scale="46" orientation="portrait" r:id="rId1"/>
  <headerFooter>
    <oddFooter>&amp;C&amp;"Calibri"&amp;11&amp;K000000&amp;"Calibri"&amp;11&amp;K000000&amp;"Calibri"&amp;11&amp;K000000&amp;10&amp;K663300Classification: &amp;K000000 Internal  داخلي_x000D_&amp;1#&amp;"Calibri"&amp;10&amp;K000000Internal - داخلي</oddFooter>
    <evenFooter>&amp;C&amp;10&amp;K663300Classification: &amp;K000000 Internal  داخلي</evenFooter>
    <firstFooter>&amp;C&amp;10&amp;K663300Classification: &amp;K000000 Internal  داخلي</firstFooter>
  </headerFooter>
  <drawing r:id="rId2"/>
  <tableParts count="1">
    <tablePart r:id="rId3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18">
    <pageSetUpPr autoPageBreaks="0"/>
  </sheetPr>
  <dimension ref="A1:U179"/>
  <sheetViews>
    <sheetView showGridLines="0" rightToLeft="1" zoomScale="89" zoomScaleNormal="89" workbookViewId="0">
      <pane ySplit="7" topLeftCell="A178" activePane="bottomLeft" state="frozen"/>
      <selection pane="bottomLeft" activeCell="A179" sqref="A172:A179"/>
    </sheetView>
  </sheetViews>
  <sheetFormatPr defaultColWidth="9.140625" defaultRowHeight="15"/>
  <cols>
    <col min="1" max="18" width="15.85546875" style="26" customWidth="1"/>
    <col min="19" max="19" width="9.42578125" style="26" bestFit="1" customWidth="1"/>
    <col min="20" max="20" width="12.42578125" style="26" bestFit="1" customWidth="1"/>
    <col min="21" max="21" width="9.140625" style="26"/>
    <col min="22" max="22" width="13.140625" style="26" bestFit="1" customWidth="1"/>
    <col min="23" max="16384" width="9.140625" style="26"/>
  </cols>
  <sheetData>
    <row r="1" spans="1:21">
      <c r="B1" s="30"/>
      <c r="C1" s="30"/>
      <c r="D1" s="30"/>
    </row>
    <row r="2" spans="1:21" ht="15.75">
      <c r="A2" s="5"/>
      <c r="B2" s="5"/>
      <c r="C2" s="5"/>
      <c r="D2" s="5"/>
      <c r="E2" s="29"/>
      <c r="F2" s="29"/>
      <c r="G2" s="29"/>
      <c r="H2" s="30"/>
    </row>
    <row r="3" spans="1:21" ht="15.75">
      <c r="A3" s="5"/>
      <c r="B3" s="5"/>
      <c r="C3" s="5"/>
      <c r="D3" s="5"/>
      <c r="E3" s="29"/>
      <c r="F3" s="29"/>
      <c r="G3" s="29"/>
      <c r="H3" s="30"/>
    </row>
    <row r="4" spans="1:21" ht="66" customHeight="1">
      <c r="B4" s="5"/>
      <c r="C4" s="5"/>
      <c r="D4" s="191" t="s">
        <v>685</v>
      </c>
      <c r="E4" s="191"/>
      <c r="F4" s="191"/>
      <c r="G4" s="191"/>
      <c r="H4" s="191"/>
      <c r="I4" s="191"/>
      <c r="J4" s="191"/>
      <c r="K4" s="191"/>
      <c r="L4" s="191"/>
    </row>
    <row r="5" spans="1:21" ht="39" customHeight="1"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</row>
    <row r="6" spans="1:21" ht="15.75" thickBot="1">
      <c r="B6" s="55"/>
      <c r="C6" s="55"/>
      <c r="D6" s="55"/>
      <c r="E6" s="55"/>
      <c r="F6" s="55"/>
      <c r="G6" s="55"/>
      <c r="H6" s="149"/>
      <c r="I6" s="55"/>
      <c r="J6" s="55"/>
      <c r="K6" s="55"/>
      <c r="L6" s="55"/>
      <c r="M6" s="55"/>
      <c r="N6" s="55"/>
      <c r="O6" s="55"/>
      <c r="P6" s="55"/>
      <c r="Q6" s="55"/>
    </row>
    <row r="7" spans="1:21" ht="147" customHeight="1" thickBot="1">
      <c r="A7" s="109" t="s">
        <v>7</v>
      </c>
      <c r="B7" s="104" t="s">
        <v>396</v>
      </c>
      <c r="C7" s="104" t="s">
        <v>397</v>
      </c>
      <c r="D7" s="104" t="s">
        <v>398</v>
      </c>
      <c r="E7" s="104" t="s">
        <v>399</v>
      </c>
      <c r="F7" s="104" t="s">
        <v>400</v>
      </c>
      <c r="G7" s="104" t="s">
        <v>401</v>
      </c>
      <c r="H7" s="104" t="s">
        <v>412</v>
      </c>
      <c r="I7" s="111" t="s">
        <v>403</v>
      </c>
      <c r="J7" s="104" t="s">
        <v>404</v>
      </c>
      <c r="K7" s="104" t="s">
        <v>405</v>
      </c>
      <c r="L7" s="104" t="s">
        <v>406</v>
      </c>
      <c r="M7" s="104" t="s">
        <v>407</v>
      </c>
      <c r="N7" s="104" t="s">
        <v>408</v>
      </c>
      <c r="O7" s="104" t="s">
        <v>409</v>
      </c>
      <c r="P7" s="104" t="s">
        <v>410</v>
      </c>
      <c r="Q7" s="104" t="s">
        <v>411</v>
      </c>
      <c r="R7" s="107" t="s">
        <v>13</v>
      </c>
    </row>
    <row r="8" spans="1:21" ht="81.75" customHeight="1" thickTop="1" thickBot="1">
      <c r="A8" s="83" t="s">
        <v>179</v>
      </c>
      <c r="B8" s="99">
        <v>414831.97</v>
      </c>
      <c r="C8" s="99">
        <v>462241.35</v>
      </c>
      <c r="D8" s="99">
        <v>37792</v>
      </c>
      <c r="E8" s="99">
        <v>11919.92</v>
      </c>
      <c r="F8" s="99">
        <v>22147.61</v>
      </c>
      <c r="G8" s="99">
        <v>20934.8</v>
      </c>
      <c r="H8" s="99">
        <v>11880.4</v>
      </c>
      <c r="I8" s="99">
        <v>17831.45</v>
      </c>
      <c r="J8" s="99">
        <v>1701.32</v>
      </c>
      <c r="K8" s="99">
        <v>14729.67</v>
      </c>
      <c r="L8" s="99">
        <v>300.91000000000003</v>
      </c>
      <c r="M8" s="99">
        <v>11087.74</v>
      </c>
      <c r="N8" s="99">
        <v>16322.98</v>
      </c>
      <c r="O8" s="99">
        <v>3.73</v>
      </c>
      <c r="P8" s="99">
        <v>0</v>
      </c>
      <c r="Q8" s="99">
        <v>23.66</v>
      </c>
      <c r="R8" s="94">
        <v>1043749.5</v>
      </c>
    </row>
    <row r="9" spans="1:21" ht="81.75" customHeight="1" thickTop="1" thickBot="1">
      <c r="A9" s="83" t="s">
        <v>180</v>
      </c>
      <c r="B9" s="99">
        <f t="shared" ref="B9:Q9" si="0">(B8/$R8)*100</f>
        <v>39.74439939851468</v>
      </c>
      <c r="C9" s="99">
        <f t="shared" si="0"/>
        <v>44.286617622331789</v>
      </c>
      <c r="D9" s="99">
        <f t="shared" si="0"/>
        <v>3.620792153672888</v>
      </c>
      <c r="E9" s="99">
        <f t="shared" si="0"/>
        <v>1.1420288105527236</v>
      </c>
      <c r="F9" s="99">
        <f t="shared" si="0"/>
        <v>2.1219277230791489</v>
      </c>
      <c r="G9" s="99">
        <f t="shared" si="0"/>
        <v>2.0057303021462527</v>
      </c>
      <c r="H9" s="99">
        <f t="shared" si="0"/>
        <v>1.1382424614335145</v>
      </c>
      <c r="I9" s="99">
        <f t="shared" si="0"/>
        <v>1.7084032136063299</v>
      </c>
      <c r="J9" s="99">
        <f t="shared" si="0"/>
        <v>0.16300079664708819</v>
      </c>
      <c r="K9" s="99">
        <f t="shared" si="0"/>
        <v>1.4112265443001411</v>
      </c>
      <c r="L9" s="99">
        <f t="shared" si="0"/>
        <v>2.882971440944403E-2</v>
      </c>
      <c r="M9" s="99">
        <f t="shared" si="0"/>
        <v>1.0622989519994979</v>
      </c>
      <c r="N9" s="99">
        <f t="shared" si="0"/>
        <v>1.5638790725169209</v>
      </c>
      <c r="O9" s="99">
        <f t="shared" si="0"/>
        <v>3.5736544065410333E-4</v>
      </c>
      <c r="P9" s="99">
        <f t="shared" si="0"/>
        <v>0</v>
      </c>
      <c r="Q9" s="99">
        <f t="shared" si="0"/>
        <v>2.2668274332107463E-3</v>
      </c>
      <c r="R9" s="82">
        <v>100</v>
      </c>
    </row>
    <row r="10" spans="1:21" ht="81.75" customHeight="1" thickTop="1" thickBot="1">
      <c r="A10" s="83" t="s">
        <v>181</v>
      </c>
      <c r="B10" s="99">
        <v>410379.25</v>
      </c>
      <c r="C10" s="99">
        <v>440100.99</v>
      </c>
      <c r="D10" s="99">
        <v>39538.9</v>
      </c>
      <c r="E10" s="99">
        <v>12159.43</v>
      </c>
      <c r="F10" s="99">
        <v>50896.42</v>
      </c>
      <c r="G10" s="99">
        <v>26467.26</v>
      </c>
      <c r="H10" s="99">
        <v>2105.63</v>
      </c>
      <c r="I10" s="99">
        <v>17391.830000000002</v>
      </c>
      <c r="J10" s="99">
        <v>1627.5</v>
      </c>
      <c r="K10" s="99">
        <v>15935.77</v>
      </c>
      <c r="L10" s="99">
        <v>379.05</v>
      </c>
      <c r="M10" s="99">
        <v>11635.42</v>
      </c>
      <c r="N10" s="99">
        <v>15085.25</v>
      </c>
      <c r="O10" s="99">
        <v>22.82</v>
      </c>
      <c r="P10" s="99">
        <v>0</v>
      </c>
      <c r="Q10" s="99">
        <v>24</v>
      </c>
      <c r="R10" s="94">
        <v>1043749.5</v>
      </c>
    </row>
    <row r="11" spans="1:21" ht="81.75" customHeight="1" thickTop="1" thickBot="1">
      <c r="A11" s="83" t="s">
        <v>182</v>
      </c>
      <c r="B11" s="99">
        <f t="shared" ref="B11:Q11" si="1">(B10/$R10)*100</f>
        <v>39.317791289959899</v>
      </c>
      <c r="C11" s="99">
        <f t="shared" si="1"/>
        <v>42.165384510363836</v>
      </c>
      <c r="D11" s="99">
        <f t="shared" si="1"/>
        <v>3.7881598985197122</v>
      </c>
      <c r="E11" s="99">
        <f t="shared" si="1"/>
        <v>1.1649758874135987</v>
      </c>
      <c r="F11" s="99">
        <f t="shared" si="1"/>
        <v>4.8763060485298437</v>
      </c>
      <c r="G11" s="99">
        <f t="shared" si="1"/>
        <v>2.5357866039696306</v>
      </c>
      <c r="H11" s="99">
        <f t="shared" si="1"/>
        <v>0.20173710262855216</v>
      </c>
      <c r="I11" s="99">
        <f t="shared" si="1"/>
        <v>1.6662839119922934</v>
      </c>
      <c r="J11" s="99">
        <f t="shared" si="1"/>
        <v>0.15592821840872739</v>
      </c>
      <c r="K11" s="99">
        <f t="shared" si="1"/>
        <v>1.5267810906735764</v>
      </c>
      <c r="L11" s="99">
        <f t="shared" si="1"/>
        <v>3.6316185061645537E-2</v>
      </c>
      <c r="M11" s="99">
        <f t="shared" si="1"/>
        <v>1.1147713124652994</v>
      </c>
      <c r="N11" s="99">
        <f t="shared" si="1"/>
        <v>1.4452941055301105</v>
      </c>
      <c r="O11" s="99">
        <f t="shared" si="1"/>
        <v>2.1863483527417259E-3</v>
      </c>
      <c r="P11" s="99">
        <f t="shared" si="1"/>
        <v>0</v>
      </c>
      <c r="Q11" s="99">
        <f t="shared" si="1"/>
        <v>2.2994022991148738E-3</v>
      </c>
      <c r="R11" s="82">
        <v>100</v>
      </c>
    </row>
    <row r="12" spans="1:21" ht="81.75" customHeight="1" thickTop="1" thickBot="1">
      <c r="A12" s="83" t="s">
        <v>183</v>
      </c>
      <c r="B12" s="99">
        <v>101025.67</v>
      </c>
      <c r="C12" s="99">
        <v>130268.59</v>
      </c>
      <c r="D12" s="99">
        <v>9637.9</v>
      </c>
      <c r="E12" s="99">
        <v>4321.8</v>
      </c>
      <c r="F12" s="99">
        <v>6093.58</v>
      </c>
      <c r="G12" s="99">
        <v>7902.26</v>
      </c>
      <c r="H12" s="99">
        <v>81.19</v>
      </c>
      <c r="I12" s="99">
        <v>6362.69</v>
      </c>
      <c r="J12" s="99">
        <v>820.92</v>
      </c>
      <c r="K12" s="99">
        <v>4085.25</v>
      </c>
      <c r="L12" s="99">
        <v>144.61000000000001</v>
      </c>
      <c r="M12" s="99">
        <v>4721.12</v>
      </c>
      <c r="N12" s="99">
        <v>4500.16</v>
      </c>
      <c r="O12" s="99">
        <v>115.59</v>
      </c>
      <c r="P12" s="99">
        <v>0</v>
      </c>
      <c r="Q12" s="99">
        <v>18.989999999999998</v>
      </c>
      <c r="R12" s="94">
        <v>280100.34000000003</v>
      </c>
    </row>
    <row r="13" spans="1:21" ht="81.75" customHeight="1" thickTop="1" thickBot="1">
      <c r="A13" s="83" t="s">
        <v>184</v>
      </c>
      <c r="B13" s="99">
        <f t="shared" ref="B13:Q13" si="2">(B12/$R12)*100</f>
        <v>36.067671320927346</v>
      </c>
      <c r="C13" s="99">
        <f t="shared" si="2"/>
        <v>46.50783001548659</v>
      </c>
      <c r="D13" s="99">
        <f t="shared" si="2"/>
        <v>3.4408740810525251</v>
      </c>
      <c r="E13" s="99">
        <f t="shared" si="2"/>
        <v>1.5429470738950191</v>
      </c>
      <c r="F13" s="99">
        <f t="shared" si="2"/>
        <v>2.175498965834886</v>
      </c>
      <c r="G13" s="99">
        <f t="shared" si="2"/>
        <v>2.821224708259904</v>
      </c>
      <c r="H13" s="99">
        <f t="shared" si="2"/>
        <v>2.898604121651548E-2</v>
      </c>
      <c r="I13" s="99">
        <f t="shared" si="2"/>
        <v>2.2715752504977318</v>
      </c>
      <c r="J13" s="99">
        <f t="shared" si="2"/>
        <v>0.29308068672819171</v>
      </c>
      <c r="K13" s="99">
        <f t="shared" si="2"/>
        <v>1.458495194971916</v>
      </c>
      <c r="L13" s="99">
        <f t="shared" si="2"/>
        <v>5.1627927334897204E-2</v>
      </c>
      <c r="M13" s="99">
        <f t="shared" si="2"/>
        <v>1.6855102710692886</v>
      </c>
      <c r="N13" s="99">
        <f t="shared" si="2"/>
        <v>1.6066242547224325</v>
      </c>
      <c r="O13" s="99">
        <f t="shared" si="2"/>
        <v>4.1267354405924675E-2</v>
      </c>
      <c r="P13" s="99">
        <f t="shared" si="2"/>
        <v>0</v>
      </c>
      <c r="Q13" s="99">
        <f t="shared" si="2"/>
        <v>6.7797132984558301E-3</v>
      </c>
      <c r="R13" s="82">
        <v>100</v>
      </c>
    </row>
    <row r="14" spans="1:21" ht="81.75" customHeight="1" thickTop="1" thickBot="1">
      <c r="A14" s="83" t="s">
        <v>185</v>
      </c>
      <c r="B14" s="99">
        <v>99314.63</v>
      </c>
      <c r="C14" s="99">
        <v>118367.99</v>
      </c>
      <c r="D14" s="99">
        <v>9531.93</v>
      </c>
      <c r="E14" s="99">
        <v>3071.66</v>
      </c>
      <c r="F14" s="99">
        <v>20090.54</v>
      </c>
      <c r="G14" s="99">
        <v>10972.07</v>
      </c>
      <c r="H14" s="99">
        <v>596.79</v>
      </c>
      <c r="I14" s="99">
        <v>4364.32</v>
      </c>
      <c r="J14" s="99">
        <v>797.55</v>
      </c>
      <c r="K14" s="99">
        <v>4787.01</v>
      </c>
      <c r="L14" s="99">
        <v>123.89</v>
      </c>
      <c r="M14" s="99">
        <v>3802.44</v>
      </c>
      <c r="N14" s="99">
        <v>4135.29</v>
      </c>
      <c r="O14" s="99">
        <v>133.47999999999999</v>
      </c>
      <c r="P14" s="99">
        <v>0</v>
      </c>
      <c r="Q14" s="99">
        <v>10.75</v>
      </c>
      <c r="R14" s="94">
        <v>280100.34000000003</v>
      </c>
    </row>
    <row r="15" spans="1:21" ht="81.75" customHeight="1" thickTop="1" thickBot="1">
      <c r="A15" s="83" t="s">
        <v>186</v>
      </c>
      <c r="B15" s="99">
        <f t="shared" ref="B15:Q15" si="3">(B14/$R14)*100</f>
        <v>35.45680451512483</v>
      </c>
      <c r="C15" s="99">
        <f t="shared" si="3"/>
        <v>42.259138278803945</v>
      </c>
      <c r="D15" s="99">
        <f t="shared" si="3"/>
        <v>3.4030412101606156</v>
      </c>
      <c r="E15" s="99">
        <f t="shared" si="3"/>
        <v>1.0966284439354839</v>
      </c>
      <c r="F15" s="99">
        <f t="shared" si="3"/>
        <v>7.1726224966381684</v>
      </c>
      <c r="G15" s="99">
        <f t="shared" si="3"/>
        <v>3.9171926745965391</v>
      </c>
      <c r="H15" s="99">
        <f t="shared" si="3"/>
        <v>0.21306293309033467</v>
      </c>
      <c r="I15" s="99">
        <f t="shared" si="3"/>
        <v>1.5581273482209981</v>
      </c>
      <c r="J15" s="99">
        <f t="shared" si="3"/>
        <v>0.28473724808759598</v>
      </c>
      <c r="K15" s="99">
        <f t="shared" si="3"/>
        <v>1.7090339840358637</v>
      </c>
      <c r="L15" s="99">
        <f t="shared" si="3"/>
        <v>4.4230578227787941E-2</v>
      </c>
      <c r="M15" s="99">
        <f t="shared" si="3"/>
        <v>1.3575278059284039</v>
      </c>
      <c r="N15" s="99">
        <f t="shared" si="3"/>
        <v>1.4763602214834868</v>
      </c>
      <c r="O15" s="99">
        <f t="shared" si="3"/>
        <v>4.7654351294254042E-2</v>
      </c>
      <c r="P15" s="99">
        <f t="shared" si="3"/>
        <v>0</v>
      </c>
      <c r="Q15" s="99">
        <f t="shared" si="3"/>
        <v>3.8379103716903733E-3</v>
      </c>
      <c r="R15" s="82">
        <v>100</v>
      </c>
    </row>
    <row r="16" spans="1:21" ht="81.75" customHeight="1" thickTop="1" thickBot="1">
      <c r="A16" s="83" t="s">
        <v>519</v>
      </c>
      <c r="B16" s="99">
        <v>113270.65</v>
      </c>
      <c r="C16" s="99">
        <v>169643.53</v>
      </c>
      <c r="D16" s="99">
        <v>8313.1200000000008</v>
      </c>
      <c r="E16" s="99">
        <v>3727.44</v>
      </c>
      <c r="F16" s="99">
        <v>9337.39</v>
      </c>
      <c r="G16" s="99">
        <v>8083.26</v>
      </c>
      <c r="H16" s="99">
        <v>139.44</v>
      </c>
      <c r="I16" s="99">
        <v>5027.1000000000004</v>
      </c>
      <c r="J16" s="99">
        <v>1158.06</v>
      </c>
      <c r="K16" s="99">
        <v>5649.75</v>
      </c>
      <c r="L16" s="99">
        <v>86.69</v>
      </c>
      <c r="M16" s="99">
        <v>5412.68</v>
      </c>
      <c r="N16" s="99">
        <v>6685.96</v>
      </c>
      <c r="O16" s="99">
        <v>227.81</v>
      </c>
      <c r="P16" s="99">
        <v>0</v>
      </c>
      <c r="Q16" s="99">
        <v>9.34</v>
      </c>
      <c r="R16" s="94">
        <v>336772.22</v>
      </c>
    </row>
    <row r="17" spans="1:18" ht="81.75" customHeight="1" thickTop="1" thickBot="1">
      <c r="A17" s="83" t="s">
        <v>520</v>
      </c>
      <c r="B17" s="99">
        <f t="shared" ref="B17:Q17" si="4">(B16/$R16)*100</f>
        <v>33.634202369779786</v>
      </c>
      <c r="C17" s="99">
        <f t="shared" si="4"/>
        <v>50.373374027109485</v>
      </c>
      <c r="D17" s="99">
        <f t="shared" si="4"/>
        <v>2.4684696380241822</v>
      </c>
      <c r="E17" s="99">
        <f t="shared" si="4"/>
        <v>1.1068133826477731</v>
      </c>
      <c r="F17" s="99">
        <f t="shared" si="4"/>
        <v>2.7726128954460671</v>
      </c>
      <c r="G17" s="99">
        <f t="shared" si="4"/>
        <v>2.4002157897703085</v>
      </c>
      <c r="H17" s="99">
        <f t="shared" si="4"/>
        <v>4.1404840339859389E-2</v>
      </c>
      <c r="I17" s="99">
        <f t="shared" si="4"/>
        <v>1.4927300119944575</v>
      </c>
      <c r="J17" s="99">
        <f t="shared" si="4"/>
        <v>0.34387040593787693</v>
      </c>
      <c r="K17" s="99">
        <f t="shared" si="4"/>
        <v>1.6776175897168715</v>
      </c>
      <c r="L17" s="99">
        <f t="shared" si="4"/>
        <v>2.5741434373654695E-2</v>
      </c>
      <c r="M17" s="99">
        <f t="shared" si="4"/>
        <v>1.6072228285337788</v>
      </c>
      <c r="N17" s="99">
        <f t="shared" si="4"/>
        <v>1.9853062702143307</v>
      </c>
      <c r="O17" s="99">
        <f t="shared" si="4"/>
        <v>6.7645128211584679E-2</v>
      </c>
      <c r="P17" s="99">
        <f t="shared" si="4"/>
        <v>0</v>
      </c>
      <c r="Q17" s="99">
        <f t="shared" si="4"/>
        <v>2.7733878999877132E-3</v>
      </c>
      <c r="R17" s="82">
        <v>100</v>
      </c>
    </row>
    <row r="18" spans="1:18" ht="81.75" customHeight="1" thickTop="1" thickBot="1">
      <c r="A18" s="83" t="s">
        <v>521</v>
      </c>
      <c r="B18" s="99">
        <v>113075.44</v>
      </c>
      <c r="C18" s="99">
        <v>147674.65</v>
      </c>
      <c r="D18" s="99">
        <v>5729.09</v>
      </c>
      <c r="E18" s="99">
        <v>3205.34</v>
      </c>
      <c r="F18" s="99">
        <v>27820.09</v>
      </c>
      <c r="G18" s="99">
        <v>17267.580000000002</v>
      </c>
      <c r="H18" s="99">
        <v>1446.9</v>
      </c>
      <c r="I18" s="99">
        <v>4875.16</v>
      </c>
      <c r="J18" s="99">
        <v>1343.68</v>
      </c>
      <c r="K18" s="99">
        <v>4263.72</v>
      </c>
      <c r="L18" s="99">
        <v>92.05</v>
      </c>
      <c r="M18" s="99">
        <v>3750.01</v>
      </c>
      <c r="N18" s="99">
        <v>5227.01</v>
      </c>
      <c r="O18" s="99">
        <v>985.47</v>
      </c>
      <c r="P18" s="99">
        <v>0</v>
      </c>
      <c r="Q18" s="99">
        <v>16.010000000000002</v>
      </c>
      <c r="R18" s="94">
        <v>336772.22</v>
      </c>
    </row>
    <row r="19" spans="1:18" ht="81.75" customHeight="1" thickTop="1" thickBot="1">
      <c r="A19" s="83" t="s">
        <v>522</v>
      </c>
      <c r="B19" s="99">
        <f t="shared" ref="B19:Q19" si="5">(B18/$R18)*100</f>
        <v>33.576237374923622</v>
      </c>
      <c r="C19" s="99">
        <f t="shared" si="5"/>
        <v>43.850009362411193</v>
      </c>
      <c r="D19" s="99">
        <f t="shared" si="5"/>
        <v>1.7011765400364678</v>
      </c>
      <c r="E19" s="99">
        <f t="shared" si="5"/>
        <v>0.95178278065809596</v>
      </c>
      <c r="F19" s="99">
        <f t="shared" si="5"/>
        <v>8.2608031030587981</v>
      </c>
      <c r="G19" s="99">
        <f t="shared" si="5"/>
        <v>5.1273765989368139</v>
      </c>
      <c r="H19" s="99">
        <f t="shared" si="5"/>
        <v>0.42963757521329998</v>
      </c>
      <c r="I19" s="99">
        <f t="shared" si="5"/>
        <v>1.4476134640796678</v>
      </c>
      <c r="J19" s="99">
        <f t="shared" si="5"/>
        <v>0.39898777874255786</v>
      </c>
      <c r="K19" s="99">
        <f t="shared" si="5"/>
        <v>1.2660545457104508</v>
      </c>
      <c r="L19" s="99">
        <f t="shared" si="5"/>
        <v>2.7333014581784686E-2</v>
      </c>
      <c r="M19" s="99">
        <f t="shared" si="5"/>
        <v>1.1135152418450669</v>
      </c>
      <c r="N19" s="99">
        <f t="shared" si="5"/>
        <v>1.5520906088987982</v>
      </c>
      <c r="O19" s="99">
        <f t="shared" si="5"/>
        <v>0.29262211710930319</v>
      </c>
      <c r="P19" s="99">
        <f t="shared" si="5"/>
        <v>0</v>
      </c>
      <c r="Q19" s="99">
        <f t="shared" si="5"/>
        <v>4.753955061970374E-3</v>
      </c>
      <c r="R19" s="82">
        <v>100</v>
      </c>
    </row>
    <row r="20" spans="1:18" ht="81.75" customHeight="1" thickTop="1" thickBot="1">
      <c r="A20" s="83" t="s">
        <v>187</v>
      </c>
      <c r="B20" s="99">
        <v>119684.70514060001</v>
      </c>
      <c r="C20" s="99">
        <v>198305.95043039997</v>
      </c>
      <c r="D20" s="99">
        <v>8353.2044012499991</v>
      </c>
      <c r="E20" s="99">
        <v>3820.3106408499998</v>
      </c>
      <c r="F20" s="99">
        <v>6695.6828901499994</v>
      </c>
      <c r="G20" s="99">
        <v>7705.1103236999998</v>
      </c>
      <c r="H20" s="99">
        <v>102.21959649999999</v>
      </c>
      <c r="I20" s="99">
        <v>6950.2998193500007</v>
      </c>
      <c r="J20" s="99">
        <v>1144.9254754999999</v>
      </c>
      <c r="K20" s="99">
        <v>4933.9911557000005</v>
      </c>
      <c r="L20" s="99">
        <v>88.777290949999994</v>
      </c>
      <c r="M20" s="99">
        <v>3441.6809302500001</v>
      </c>
      <c r="N20" s="99">
        <v>6711.9377438000001</v>
      </c>
      <c r="O20" s="99">
        <v>388.68250795000006</v>
      </c>
      <c r="P20" s="99">
        <v>0</v>
      </c>
      <c r="Q20" s="99">
        <v>7.9387012000000006</v>
      </c>
      <c r="R20" s="94">
        <v>368335.41704814992</v>
      </c>
    </row>
    <row r="21" spans="1:18" ht="81.75" customHeight="1" thickTop="1" thickBot="1">
      <c r="A21" s="83" t="s">
        <v>188</v>
      </c>
      <c r="B21" s="99">
        <f t="shared" ref="B21:Q21" si="6">(B20/$R20)*100</f>
        <v>32.493401286185431</v>
      </c>
      <c r="C21" s="99">
        <f t="shared" si="6"/>
        <v>53.838415002181783</v>
      </c>
      <c r="D21" s="99">
        <f t="shared" si="6"/>
        <v>2.2678254695659752</v>
      </c>
      <c r="E21" s="99">
        <f t="shared" si="6"/>
        <v>1.0371825417892402</v>
      </c>
      <c r="F21" s="99">
        <f t="shared" si="6"/>
        <v>1.8178221751818995</v>
      </c>
      <c r="G21" s="99">
        <f t="shared" si="6"/>
        <v>2.0918733217264212</v>
      </c>
      <c r="H21" s="99">
        <f t="shared" si="6"/>
        <v>2.7751769655818229E-2</v>
      </c>
      <c r="I21" s="99">
        <f t="shared" si="6"/>
        <v>1.8869485522326073</v>
      </c>
      <c r="J21" s="99">
        <f t="shared" si="6"/>
        <v>0.3108377371569272</v>
      </c>
      <c r="K21" s="99">
        <f t="shared" si="6"/>
        <v>1.3395375321876837</v>
      </c>
      <c r="L21" s="99">
        <f t="shared" si="6"/>
        <v>2.4102295581962665E-2</v>
      </c>
      <c r="M21" s="99">
        <f t="shared" si="6"/>
        <v>0.93438772677135551</v>
      </c>
      <c r="N21" s="99">
        <f t="shared" si="6"/>
        <v>1.8222352326555107</v>
      </c>
      <c r="O21" s="99">
        <f t="shared" si="6"/>
        <v>0.10552406582698788</v>
      </c>
      <c r="P21" s="99">
        <f t="shared" si="6"/>
        <v>0</v>
      </c>
      <c r="Q21" s="99">
        <f t="shared" si="6"/>
        <v>2.1552913004187781E-3</v>
      </c>
      <c r="R21" s="82">
        <v>100</v>
      </c>
    </row>
    <row r="22" spans="1:18" ht="81.75" customHeight="1" thickTop="1" thickBot="1">
      <c r="A22" s="83" t="s">
        <v>189</v>
      </c>
      <c r="B22" s="99">
        <v>118150.47507775</v>
      </c>
      <c r="C22" s="99">
        <v>175465.43759555</v>
      </c>
      <c r="D22" s="99">
        <v>6864.2950803999993</v>
      </c>
      <c r="E22" s="99">
        <v>2549.0334210000001</v>
      </c>
      <c r="F22" s="99">
        <v>28520.485870100001</v>
      </c>
      <c r="G22" s="99">
        <v>16118.907665700001</v>
      </c>
      <c r="H22" s="99">
        <v>943.23205384999994</v>
      </c>
      <c r="I22" s="99">
        <v>4009.2025679499998</v>
      </c>
      <c r="J22" s="99">
        <v>1190.6143145999999</v>
      </c>
      <c r="K22" s="99">
        <v>4862.1929899500001</v>
      </c>
      <c r="L22" s="99">
        <v>88.949204199999997</v>
      </c>
      <c r="M22" s="99">
        <v>2797.6874488500002</v>
      </c>
      <c r="N22" s="99">
        <v>6381.0575312999999</v>
      </c>
      <c r="O22" s="99">
        <v>386.48842925000002</v>
      </c>
      <c r="P22" s="99">
        <v>0</v>
      </c>
      <c r="Q22" s="99">
        <v>7.3577976999999999</v>
      </c>
      <c r="R22" s="94">
        <v>368335.41704815009</v>
      </c>
    </row>
    <row r="23" spans="1:18" ht="81.75" customHeight="1" thickTop="1" thickBot="1">
      <c r="A23" s="83" t="s">
        <v>190</v>
      </c>
      <c r="B23" s="99">
        <f t="shared" ref="B23:Q23" si="7">(B22/$R22)*100</f>
        <v>32.076870593822086</v>
      </c>
      <c r="C23" s="99">
        <f t="shared" si="7"/>
        <v>47.637405873628644</v>
      </c>
      <c r="D23" s="99">
        <f t="shared" si="7"/>
        <v>1.8635989814421443</v>
      </c>
      <c r="E23" s="99">
        <f t="shared" si="7"/>
        <v>0.69204135769186204</v>
      </c>
      <c r="F23" s="99">
        <f t="shared" si="7"/>
        <v>7.7430745320838117</v>
      </c>
      <c r="G23" s="99">
        <f t="shared" si="7"/>
        <v>4.3761492703789813</v>
      </c>
      <c r="H23" s="99">
        <f t="shared" si="7"/>
        <v>0.2560796519132173</v>
      </c>
      <c r="I23" s="99">
        <f t="shared" si="7"/>
        <v>1.0884651278119972</v>
      </c>
      <c r="J23" s="99">
        <f t="shared" si="7"/>
        <v>0.32324187669532706</v>
      </c>
      <c r="K23" s="99">
        <f t="shared" si="7"/>
        <v>1.3200449277769011</v>
      </c>
      <c r="L23" s="99">
        <f t="shared" si="7"/>
        <v>2.4148968598469652E-2</v>
      </c>
      <c r="M23" s="99">
        <f t="shared" si="7"/>
        <v>0.75954885665645255</v>
      </c>
      <c r="N23" s="99">
        <f t="shared" si="7"/>
        <v>1.7324040089432522</v>
      </c>
      <c r="O23" s="99">
        <f t="shared" si="7"/>
        <v>0.10492839172168905</v>
      </c>
      <c r="P23" s="99">
        <f t="shared" si="7"/>
        <v>0</v>
      </c>
      <c r="Q23" s="99">
        <f t="shared" si="7"/>
        <v>1.9975808351435733E-3</v>
      </c>
      <c r="R23" s="82">
        <v>100</v>
      </c>
    </row>
    <row r="24" spans="1:18" ht="81.75" customHeight="1" thickTop="1" thickBot="1">
      <c r="A24" s="83" t="s">
        <v>191</v>
      </c>
      <c r="B24" s="99">
        <v>106866.08024120002</v>
      </c>
      <c r="C24" s="99">
        <v>175263.45027330003</v>
      </c>
      <c r="D24" s="99">
        <v>6546.4220658999993</v>
      </c>
      <c r="E24" s="99">
        <v>2130.4330399</v>
      </c>
      <c r="F24" s="99">
        <v>5938.4724813000003</v>
      </c>
      <c r="G24" s="99">
        <v>6604.3784237500004</v>
      </c>
      <c r="H24" s="99">
        <v>251.22154275000003</v>
      </c>
      <c r="I24" s="99">
        <v>3428.7757431499995</v>
      </c>
      <c r="J24" s="99">
        <v>798.65462064999997</v>
      </c>
      <c r="K24" s="99">
        <v>3431.9665416000003</v>
      </c>
      <c r="L24" s="99">
        <v>47.300845100000004</v>
      </c>
      <c r="M24" s="99">
        <v>2723.2457252499999</v>
      </c>
      <c r="N24" s="99">
        <v>5648.0078676000003</v>
      </c>
      <c r="O24" s="99">
        <v>174.90991074999999</v>
      </c>
      <c r="P24" s="99">
        <v>0</v>
      </c>
      <c r="Q24" s="99">
        <v>3.6133724000000003</v>
      </c>
      <c r="R24" s="94">
        <v>319856.93269460002</v>
      </c>
    </row>
    <row r="25" spans="1:18" ht="81.75" customHeight="1" thickTop="1" thickBot="1">
      <c r="A25" s="83" t="s">
        <v>192</v>
      </c>
      <c r="B25" s="99">
        <f t="shared" ref="B25:Q25" si="8">(B24/$R24)*100</f>
        <v>33.410587458873664</v>
      </c>
      <c r="C25" s="99">
        <f t="shared" si="8"/>
        <v>54.79432594967134</v>
      </c>
      <c r="D25" s="99">
        <f t="shared" si="8"/>
        <v>2.0466719325888536</v>
      </c>
      <c r="E25" s="99">
        <f t="shared" si="8"/>
        <v>0.66605810977814306</v>
      </c>
      <c r="F25" s="99">
        <f t="shared" si="8"/>
        <v>1.8566027102404763</v>
      </c>
      <c r="G25" s="99">
        <f t="shared" si="8"/>
        <v>2.0647913953629615</v>
      </c>
      <c r="H25" s="99">
        <f t="shared" si="8"/>
        <v>7.8541847016918284E-2</v>
      </c>
      <c r="I25" s="99">
        <f t="shared" si="8"/>
        <v>1.071971682547147</v>
      </c>
      <c r="J25" s="99">
        <f t="shared" si="8"/>
        <v>0.24969120222651445</v>
      </c>
      <c r="K25" s="99">
        <f t="shared" si="8"/>
        <v>1.0729692530619146</v>
      </c>
      <c r="L25" s="99">
        <f t="shared" si="8"/>
        <v>1.4788125647776075E-2</v>
      </c>
      <c r="M25" s="99">
        <f t="shared" si="8"/>
        <v>0.8513949353257132</v>
      </c>
      <c r="N25" s="99">
        <f t="shared" si="8"/>
        <v>1.7657919182863948</v>
      </c>
      <c r="O25" s="99">
        <f t="shared" si="8"/>
        <v>5.4683795432067216E-2</v>
      </c>
      <c r="P25" s="99">
        <f t="shared" si="8"/>
        <v>0</v>
      </c>
      <c r="Q25" s="99">
        <f t="shared" si="8"/>
        <v>1.1296839401164567E-3</v>
      </c>
      <c r="R25" s="82">
        <v>100</v>
      </c>
    </row>
    <row r="26" spans="1:18" ht="81.75" customHeight="1" thickTop="1" thickBot="1">
      <c r="A26" s="83" t="s">
        <v>193</v>
      </c>
      <c r="B26" s="99">
        <v>105107.55200255</v>
      </c>
      <c r="C26" s="99">
        <v>149680.22962490001</v>
      </c>
      <c r="D26" s="99">
        <v>6472.2014851000004</v>
      </c>
      <c r="E26" s="99">
        <v>2098.3981386</v>
      </c>
      <c r="F26" s="99">
        <v>26767.741133349999</v>
      </c>
      <c r="G26" s="99">
        <v>11342.25603095</v>
      </c>
      <c r="H26" s="99">
        <v>179.35424705</v>
      </c>
      <c r="I26" s="99">
        <v>4315.5382093500002</v>
      </c>
      <c r="J26" s="99">
        <v>967.51741304999996</v>
      </c>
      <c r="K26" s="99">
        <v>3843.2278741499999</v>
      </c>
      <c r="L26" s="99">
        <v>59.954650750000006</v>
      </c>
      <c r="M26" s="99">
        <v>3496.5625128000001</v>
      </c>
      <c r="N26" s="99">
        <v>5191.2455030000001</v>
      </c>
      <c r="O26" s="99">
        <v>328.39805064999996</v>
      </c>
      <c r="P26" s="99">
        <v>0</v>
      </c>
      <c r="Q26" s="99">
        <v>6.7558183499999993</v>
      </c>
      <c r="R26" s="94">
        <v>319856.93269460002</v>
      </c>
    </row>
    <row r="27" spans="1:18" ht="81.75" customHeight="1" thickTop="1" thickBot="1">
      <c r="A27" s="83" t="s">
        <v>194</v>
      </c>
      <c r="B27" s="99">
        <f t="shared" ref="B27:Q27" si="9">(B26/$R26)*100</f>
        <v>32.860801583096176</v>
      </c>
      <c r="C27" s="99">
        <f t="shared" si="9"/>
        <v>46.795993559975443</v>
      </c>
      <c r="D27" s="99">
        <f t="shared" si="9"/>
        <v>2.02346762678415</v>
      </c>
      <c r="E27" s="99">
        <f t="shared" si="9"/>
        <v>0.65604272539046526</v>
      </c>
      <c r="F27" s="99">
        <f t="shared" si="9"/>
        <v>8.368660609556926</v>
      </c>
      <c r="G27" s="99">
        <f t="shared" si="9"/>
        <v>3.546040392308647</v>
      </c>
      <c r="H27" s="99">
        <f t="shared" si="9"/>
        <v>5.6073271740290143E-2</v>
      </c>
      <c r="I27" s="99">
        <f t="shared" si="9"/>
        <v>1.3492089019281892</v>
      </c>
      <c r="J27" s="99">
        <f t="shared" si="9"/>
        <v>0.30248442792821606</v>
      </c>
      <c r="K27" s="99">
        <f t="shared" si="9"/>
        <v>1.2015459042182215</v>
      </c>
      <c r="L27" s="99">
        <f t="shared" si="9"/>
        <v>1.8744208620059773E-2</v>
      </c>
      <c r="M27" s="99">
        <f t="shared" si="9"/>
        <v>1.093164523070858</v>
      </c>
      <c r="N27" s="99">
        <f t="shared" si="9"/>
        <v>1.6229898346322886</v>
      </c>
      <c r="O27" s="99">
        <f t="shared" si="9"/>
        <v>0.10267029320998179</v>
      </c>
      <c r="P27" s="99">
        <f t="shared" si="9"/>
        <v>0</v>
      </c>
      <c r="Q27" s="99">
        <f t="shared" si="9"/>
        <v>2.1121375400827928E-3</v>
      </c>
      <c r="R27" s="82">
        <v>100</v>
      </c>
    </row>
    <row r="28" spans="1:18" ht="81.75" customHeight="1" thickTop="1" thickBot="1">
      <c r="A28" s="83" t="s">
        <v>195</v>
      </c>
      <c r="B28" s="99">
        <v>59096.421502500001</v>
      </c>
      <c r="C28" s="99">
        <v>82959.706238950006</v>
      </c>
      <c r="D28" s="99">
        <v>4225.4716883000001</v>
      </c>
      <c r="E28" s="99">
        <v>1520.8456150999998</v>
      </c>
      <c r="F28" s="99">
        <v>3386.1992748499997</v>
      </c>
      <c r="G28" s="99">
        <v>5490.7986391499999</v>
      </c>
      <c r="H28" s="99">
        <v>801.74025449999999</v>
      </c>
      <c r="I28" s="99">
        <v>3183.7138342500007</v>
      </c>
      <c r="J28" s="99">
        <v>514.68903450000005</v>
      </c>
      <c r="K28" s="99">
        <v>2628.5465986999998</v>
      </c>
      <c r="L28" s="99">
        <v>29.826780650000003</v>
      </c>
      <c r="M28" s="99">
        <v>2426.96891555</v>
      </c>
      <c r="N28" s="99">
        <v>2624.0392096499995</v>
      </c>
      <c r="O28" s="99">
        <v>281.98091135000004</v>
      </c>
      <c r="P28" s="99">
        <v>0</v>
      </c>
      <c r="Q28" s="99">
        <v>0</v>
      </c>
      <c r="R28" s="94">
        <v>169170.94849800001</v>
      </c>
    </row>
    <row r="29" spans="1:18" ht="81.75" customHeight="1" thickTop="1" thickBot="1">
      <c r="A29" s="83" t="s">
        <v>196</v>
      </c>
      <c r="B29" s="99">
        <f t="shared" ref="B29:Q29" si="10">(B28/$R28)*100</f>
        <v>34.93296102385964</v>
      </c>
      <c r="C29" s="99">
        <f t="shared" si="10"/>
        <v>49.038979195609805</v>
      </c>
      <c r="D29" s="99">
        <f t="shared" si="10"/>
        <v>2.497752554925206</v>
      </c>
      <c r="E29" s="99">
        <f t="shared" si="10"/>
        <v>0.89899928362580517</v>
      </c>
      <c r="F29" s="99">
        <f t="shared" si="10"/>
        <v>2.0016434883853784</v>
      </c>
      <c r="G29" s="99">
        <f t="shared" si="10"/>
        <v>3.2457101458025543</v>
      </c>
      <c r="H29" s="99">
        <f t="shared" si="10"/>
        <v>0.47392313019364457</v>
      </c>
      <c r="I29" s="99">
        <f t="shared" si="10"/>
        <v>1.8819506910121977</v>
      </c>
      <c r="J29" s="99">
        <f t="shared" si="10"/>
        <v>0.30424197480106036</v>
      </c>
      <c r="K29" s="99">
        <f t="shared" si="10"/>
        <v>1.5537813212243563</v>
      </c>
      <c r="L29" s="99">
        <f t="shared" si="10"/>
        <v>1.7631148205303478E-2</v>
      </c>
      <c r="M29" s="99">
        <f t="shared" si="10"/>
        <v>1.4346251156584917</v>
      </c>
      <c r="N29" s="99">
        <f t="shared" si="10"/>
        <v>1.5511169222303092</v>
      </c>
      <c r="O29" s="99">
        <f t="shared" si="10"/>
        <v>0.16668400446624776</v>
      </c>
      <c r="P29" s="99">
        <f t="shared" si="10"/>
        <v>0</v>
      </c>
      <c r="Q29" s="99">
        <f t="shared" si="10"/>
        <v>0</v>
      </c>
      <c r="R29" s="82">
        <v>100</v>
      </c>
    </row>
    <row r="30" spans="1:18" ht="81.75" customHeight="1" thickTop="1" thickBot="1">
      <c r="A30" s="83" t="s">
        <v>197</v>
      </c>
      <c r="B30" s="99">
        <v>57648.007313200003</v>
      </c>
      <c r="C30" s="99">
        <v>65451.261763349998</v>
      </c>
      <c r="D30" s="99">
        <v>4119.9124197000001</v>
      </c>
      <c r="E30" s="99">
        <v>1577.83234425</v>
      </c>
      <c r="F30" s="99">
        <v>20187.189150499999</v>
      </c>
      <c r="G30" s="99">
        <v>6818.4068862000004</v>
      </c>
      <c r="H30" s="99">
        <v>724.74981904999993</v>
      </c>
      <c r="I30" s="99">
        <v>3739.9403094499999</v>
      </c>
      <c r="J30" s="99">
        <v>531.32057769999994</v>
      </c>
      <c r="K30" s="99">
        <v>2903.0370334499999</v>
      </c>
      <c r="L30" s="99">
        <v>34.601882150000002</v>
      </c>
      <c r="M30" s="99">
        <v>3007.9131706999997</v>
      </c>
      <c r="N30" s="99">
        <v>2239.0719099000003</v>
      </c>
      <c r="O30" s="99">
        <v>187.4595309</v>
      </c>
      <c r="P30" s="99">
        <v>0.24438750000000001</v>
      </c>
      <c r="Q30" s="99">
        <v>0</v>
      </c>
      <c r="R30" s="94">
        <v>169170.94849799998</v>
      </c>
    </row>
    <row r="31" spans="1:18" ht="81.75" customHeight="1" thickTop="1" thickBot="1">
      <c r="A31" s="83" t="s">
        <v>198</v>
      </c>
      <c r="B31" s="99">
        <f t="shared" ref="B31:Q31" si="11">(B30/$R30)*100</f>
        <v>34.076777262900755</v>
      </c>
      <c r="C31" s="99">
        <f t="shared" si="11"/>
        <v>38.689421762108161</v>
      </c>
      <c r="D31" s="99">
        <f t="shared" si="11"/>
        <v>2.4353545666552243</v>
      </c>
      <c r="E31" s="99">
        <f t="shared" si="11"/>
        <v>0.93268516743503038</v>
      </c>
      <c r="F31" s="99">
        <f t="shared" si="11"/>
        <v>11.933011743289162</v>
      </c>
      <c r="G31" s="99">
        <f t="shared" si="11"/>
        <v>4.0304833346019873</v>
      </c>
      <c r="H31" s="99">
        <f t="shared" si="11"/>
        <v>0.42841269466463283</v>
      </c>
      <c r="I31" s="99">
        <f t="shared" si="11"/>
        <v>2.210746196468961</v>
      </c>
      <c r="J31" s="99">
        <f t="shared" si="11"/>
        <v>0.31407318006866969</v>
      </c>
      <c r="K31" s="99">
        <f t="shared" si="11"/>
        <v>1.7160375698220554</v>
      </c>
      <c r="L31" s="99">
        <f t="shared" si="11"/>
        <v>2.0453796858867338E-2</v>
      </c>
      <c r="M31" s="99">
        <f t="shared" si="11"/>
        <v>1.7780317468253486</v>
      </c>
      <c r="N31" s="99">
        <f t="shared" si="11"/>
        <v>1.3235558054026466</v>
      </c>
      <c r="O31" s="99">
        <f t="shared" si="11"/>
        <v>0.1108107110377857</v>
      </c>
      <c r="P31" s="99">
        <f t="shared" si="11"/>
        <v>1.4446186072125103E-4</v>
      </c>
      <c r="Q31" s="99">
        <f t="shared" si="11"/>
        <v>0</v>
      </c>
      <c r="R31" s="82">
        <v>100</v>
      </c>
    </row>
    <row r="32" spans="1:18" ht="81.75" customHeight="1" thickTop="1" thickBot="1">
      <c r="A32" s="83" t="s">
        <v>523</v>
      </c>
      <c r="B32" s="99">
        <v>97484.99882985001</v>
      </c>
      <c r="C32" s="99">
        <v>136266.38831965</v>
      </c>
      <c r="D32" s="99">
        <v>17234.070220300004</v>
      </c>
      <c r="E32" s="99">
        <v>3104.5175970999999</v>
      </c>
      <c r="F32" s="99">
        <v>14331.79815035</v>
      </c>
      <c r="G32" s="99">
        <v>7177.1207582000006</v>
      </c>
      <c r="H32" s="99">
        <v>1364.6101383500002</v>
      </c>
      <c r="I32" s="99">
        <v>4957.4277762000002</v>
      </c>
      <c r="J32" s="99">
        <v>989.69262964999996</v>
      </c>
      <c r="K32" s="99">
        <v>6173.1068541000004</v>
      </c>
      <c r="L32" s="99">
        <v>70.7290955</v>
      </c>
      <c r="M32" s="99">
        <v>5370.7295408500004</v>
      </c>
      <c r="N32" s="99">
        <v>4688.8062811</v>
      </c>
      <c r="O32" s="99">
        <v>401.86956520000007</v>
      </c>
      <c r="P32" s="99">
        <v>0</v>
      </c>
      <c r="Q32" s="99">
        <v>7.92020415</v>
      </c>
      <c r="R32" s="94">
        <v>299623.78596055007</v>
      </c>
    </row>
    <row r="33" spans="1:18" ht="81.75" customHeight="1" thickTop="1" thickBot="1">
      <c r="A33" s="83" t="s">
        <v>524</v>
      </c>
      <c r="B33" s="99">
        <f t="shared" ref="B33:Q33" si="12">(B32/$R32)*100</f>
        <v>32.535801027053765</v>
      </c>
      <c r="C33" s="99">
        <f t="shared" si="12"/>
        <v>45.4791624379219</v>
      </c>
      <c r="D33" s="99">
        <f t="shared" si="12"/>
        <v>5.7519032292613526</v>
      </c>
      <c r="E33" s="99">
        <f t="shared" si="12"/>
        <v>1.0361385652835839</v>
      </c>
      <c r="F33" s="99">
        <f t="shared" si="12"/>
        <v>4.7832644876321648</v>
      </c>
      <c r="G33" s="99">
        <f t="shared" si="12"/>
        <v>2.3953775015528889</v>
      </c>
      <c r="H33" s="99">
        <f t="shared" si="12"/>
        <v>0.45544119068359662</v>
      </c>
      <c r="I33" s="99">
        <f t="shared" si="12"/>
        <v>1.6545508095451138</v>
      </c>
      <c r="J33" s="99">
        <f t="shared" si="12"/>
        <v>0.33031176963377257</v>
      </c>
      <c r="K33" s="99">
        <f t="shared" si="12"/>
        <v>2.0602859797361956</v>
      </c>
      <c r="L33" s="99">
        <f t="shared" si="12"/>
        <v>2.3605968155449627E-2</v>
      </c>
      <c r="M33" s="99">
        <f t="shared" si="12"/>
        <v>1.7924910479427478</v>
      </c>
      <c r="N33" s="99">
        <f t="shared" si="12"/>
        <v>1.5648978822119786</v>
      </c>
      <c r="O33" s="99">
        <f t="shared" si="12"/>
        <v>0.13412472040951787</v>
      </c>
      <c r="P33" s="99">
        <f t="shared" si="12"/>
        <v>0</v>
      </c>
      <c r="Q33" s="99">
        <f t="shared" si="12"/>
        <v>2.6433829759573268E-3</v>
      </c>
      <c r="R33" s="82">
        <v>100</v>
      </c>
    </row>
    <row r="34" spans="1:18" ht="81.75" customHeight="1" thickTop="1" thickBot="1">
      <c r="A34" s="83" t="s">
        <v>525</v>
      </c>
      <c r="B34" s="99">
        <v>88615.715306450016</v>
      </c>
      <c r="C34" s="99">
        <v>122921.98172924999</v>
      </c>
      <c r="D34" s="99">
        <v>8014.5278241500009</v>
      </c>
      <c r="E34" s="99">
        <v>2840.9326741000004</v>
      </c>
      <c r="F34" s="99">
        <v>13963.299308600001</v>
      </c>
      <c r="G34" s="99">
        <v>42656.978162949999</v>
      </c>
      <c r="H34" s="99">
        <v>1196.5351560499998</v>
      </c>
      <c r="I34" s="99">
        <v>5176.15620425</v>
      </c>
      <c r="J34" s="99">
        <v>708.32537305000005</v>
      </c>
      <c r="K34" s="99">
        <v>3769.2972103500006</v>
      </c>
      <c r="L34" s="99">
        <v>80.20804154999999</v>
      </c>
      <c r="M34" s="99">
        <v>5102.0611311000002</v>
      </c>
      <c r="N34" s="99">
        <v>4171.46332265</v>
      </c>
      <c r="O34" s="99">
        <v>404.82253080000004</v>
      </c>
      <c r="P34" s="99">
        <v>0</v>
      </c>
      <c r="Q34" s="99">
        <v>1.4819852499999999</v>
      </c>
      <c r="R34" s="94">
        <v>299623.78596055007</v>
      </c>
    </row>
    <row r="35" spans="1:18" ht="81.75" customHeight="1" thickTop="1" thickBot="1">
      <c r="A35" s="83" t="s">
        <v>526</v>
      </c>
      <c r="B35" s="99">
        <f t="shared" ref="B35:Q35" si="13">(B34/$R34)*100</f>
        <v>29.575661031837303</v>
      </c>
      <c r="C35" s="99">
        <f t="shared" si="13"/>
        <v>41.025441733599379</v>
      </c>
      <c r="D35" s="99">
        <f t="shared" si="13"/>
        <v>2.6748636789487841</v>
      </c>
      <c r="E35" s="99">
        <f t="shared" si="13"/>
        <v>0.94816660332636327</v>
      </c>
      <c r="F35" s="99">
        <f t="shared" si="13"/>
        <v>4.6602773087042149</v>
      </c>
      <c r="G35" s="99">
        <f t="shared" si="13"/>
        <v>14.236846392617982</v>
      </c>
      <c r="H35" s="99">
        <f t="shared" si="13"/>
        <v>0.39934585040172393</v>
      </c>
      <c r="I35" s="99">
        <f t="shared" si="13"/>
        <v>1.7275518322605796</v>
      </c>
      <c r="J35" s="99">
        <f t="shared" si="13"/>
        <v>0.23640492051697845</v>
      </c>
      <c r="K35" s="99">
        <f t="shared" si="13"/>
        <v>1.2580100068711784</v>
      </c>
      <c r="L35" s="99">
        <f t="shared" si="13"/>
        <v>2.6769584161305728E-2</v>
      </c>
      <c r="M35" s="99">
        <f t="shared" si="13"/>
        <v>1.7028224627572666</v>
      </c>
      <c r="N35" s="99">
        <f t="shared" si="13"/>
        <v>1.3922337004309915</v>
      </c>
      <c r="O35" s="99">
        <f t="shared" si="13"/>
        <v>0.13511027821179089</v>
      </c>
      <c r="P35" s="99">
        <f t="shared" si="13"/>
        <v>0</v>
      </c>
      <c r="Q35" s="99">
        <f t="shared" si="13"/>
        <v>4.946153541345097E-4</v>
      </c>
      <c r="R35" s="82">
        <v>100</v>
      </c>
    </row>
    <row r="36" spans="1:18" ht="81.75" customHeight="1" thickTop="1" thickBot="1">
      <c r="A36" s="83" t="s">
        <v>199</v>
      </c>
      <c r="B36" s="99">
        <v>76768.9745005</v>
      </c>
      <c r="C36" s="99">
        <v>133831.0231811</v>
      </c>
      <c r="D36" s="99">
        <v>8524.4906603500003</v>
      </c>
      <c r="E36" s="99">
        <v>2201.1979748500003</v>
      </c>
      <c r="F36" s="99">
        <v>6239.7717361500008</v>
      </c>
      <c r="G36" s="99">
        <v>5684.5539503</v>
      </c>
      <c r="H36" s="99">
        <v>520.79914039999994</v>
      </c>
      <c r="I36" s="99">
        <v>4735.1786335500001</v>
      </c>
      <c r="J36" s="99">
        <v>716.80081399999995</v>
      </c>
      <c r="K36" s="99">
        <v>2793.0010600999999</v>
      </c>
      <c r="L36" s="99">
        <v>80.008671199999995</v>
      </c>
      <c r="M36" s="99">
        <v>4749.2034521999994</v>
      </c>
      <c r="N36" s="99">
        <v>3895.1125085500003</v>
      </c>
      <c r="O36" s="99">
        <v>596.87514275000001</v>
      </c>
      <c r="P36" s="99">
        <v>0</v>
      </c>
      <c r="Q36" s="99">
        <v>147.72407719999998</v>
      </c>
      <c r="R36" s="94">
        <v>251484.71550319996</v>
      </c>
    </row>
    <row r="37" spans="1:18" ht="81.75" customHeight="1" thickTop="1" thickBot="1">
      <c r="A37" s="83" t="s">
        <v>200</v>
      </c>
      <c r="B37" s="99">
        <f t="shared" ref="B37:Q37" si="14">(B36/$R36)*100</f>
        <v>30.526298326676311</v>
      </c>
      <c r="C37" s="99">
        <f t="shared" si="14"/>
        <v>53.216364626102731</v>
      </c>
      <c r="D37" s="99">
        <f t="shared" si="14"/>
        <v>3.3896655084159706</v>
      </c>
      <c r="E37" s="99">
        <f t="shared" si="14"/>
        <v>0.87528101675904502</v>
      </c>
      <c r="F37" s="99">
        <f t="shared" si="14"/>
        <v>2.481173348314524</v>
      </c>
      <c r="G37" s="99">
        <f t="shared" si="14"/>
        <v>2.2603973919153222</v>
      </c>
      <c r="H37" s="99">
        <f t="shared" si="14"/>
        <v>0.20708977854098379</v>
      </c>
      <c r="I37" s="99">
        <f t="shared" si="14"/>
        <v>1.8828892340734513</v>
      </c>
      <c r="J37" s="99">
        <f t="shared" si="14"/>
        <v>0.28502758609633244</v>
      </c>
      <c r="K37" s="99">
        <f t="shared" si="14"/>
        <v>1.1106046959996903</v>
      </c>
      <c r="L37" s="99">
        <f t="shared" si="14"/>
        <v>3.1814526397721359E-2</v>
      </c>
      <c r="M37" s="99">
        <f t="shared" si="14"/>
        <v>1.8884660416428247</v>
      </c>
      <c r="N37" s="99">
        <f t="shared" si="14"/>
        <v>1.5488466170821573</v>
      </c>
      <c r="O37" s="99">
        <f t="shared" si="14"/>
        <v>0.23734052447509685</v>
      </c>
      <c r="P37" s="99">
        <f t="shared" si="14"/>
        <v>0</v>
      </c>
      <c r="Q37" s="99">
        <f t="shared" si="14"/>
        <v>5.8740777507856258E-2</v>
      </c>
      <c r="R37" s="82">
        <v>100</v>
      </c>
    </row>
    <row r="38" spans="1:18" ht="81.75" customHeight="1" thickTop="1" thickBot="1">
      <c r="A38" s="83" t="s">
        <v>201</v>
      </c>
      <c r="B38" s="99">
        <v>75317.124160399995</v>
      </c>
      <c r="C38" s="99">
        <v>122183.87243824999</v>
      </c>
      <c r="D38" s="99">
        <v>6262.5042232000005</v>
      </c>
      <c r="E38" s="99">
        <v>2150.0389190000001</v>
      </c>
      <c r="F38" s="99">
        <v>15968.2988276</v>
      </c>
      <c r="G38" s="99">
        <v>10243.9840585</v>
      </c>
      <c r="H38" s="99">
        <v>85.738877400000007</v>
      </c>
      <c r="I38" s="99">
        <v>4594.4406582499996</v>
      </c>
      <c r="J38" s="99">
        <v>764.87162615000011</v>
      </c>
      <c r="K38" s="99">
        <v>4024.4433850499995</v>
      </c>
      <c r="L38" s="99">
        <v>93.321506400000004</v>
      </c>
      <c r="M38" s="99">
        <v>2311.9618829999999</v>
      </c>
      <c r="N38" s="99">
        <v>3721.8318101499995</v>
      </c>
      <c r="O38" s="99">
        <v>3304.4408054</v>
      </c>
      <c r="P38" s="99">
        <v>0</v>
      </c>
      <c r="Q38" s="99">
        <v>457.84232444999998</v>
      </c>
      <c r="R38" s="94">
        <v>251484.71550320004</v>
      </c>
    </row>
    <row r="39" spans="1:18" ht="81.75" customHeight="1" thickTop="1" thickBot="1">
      <c r="A39" s="83" t="s">
        <v>202</v>
      </c>
      <c r="B39" s="99">
        <f t="shared" ref="B39:Q39" si="15">(B38/$R38)*100</f>
        <v>29.948986764343381</v>
      </c>
      <c r="C39" s="99">
        <f t="shared" si="15"/>
        <v>48.585009309122505</v>
      </c>
      <c r="D39" s="99">
        <f t="shared" si="15"/>
        <v>2.4902126599102647</v>
      </c>
      <c r="E39" s="99">
        <f t="shared" si="15"/>
        <v>0.85493820755585503</v>
      </c>
      <c r="F39" s="99">
        <f t="shared" si="15"/>
        <v>6.3496100729814762</v>
      </c>
      <c r="G39" s="99">
        <f t="shared" si="15"/>
        <v>4.0734022495174864</v>
      </c>
      <c r="H39" s="99">
        <f t="shared" si="15"/>
        <v>3.4093076880813068E-2</v>
      </c>
      <c r="I39" s="99">
        <f t="shared" si="15"/>
        <v>1.8269263995057929</v>
      </c>
      <c r="J39" s="99">
        <f t="shared" si="15"/>
        <v>0.30414239076897992</v>
      </c>
      <c r="K39" s="99">
        <f t="shared" si="15"/>
        <v>1.6002735502224947</v>
      </c>
      <c r="L39" s="99">
        <f t="shared" si="15"/>
        <v>3.7108221950296824E-2</v>
      </c>
      <c r="M39" s="99">
        <f t="shared" si="15"/>
        <v>0.91932500882765611</v>
      </c>
      <c r="N39" s="99">
        <f t="shared" si="15"/>
        <v>1.4799435435680148</v>
      </c>
      <c r="O39" s="99">
        <f t="shared" si="15"/>
        <v>1.3139728188999829</v>
      </c>
      <c r="P39" s="99">
        <f t="shared" si="15"/>
        <v>0</v>
      </c>
      <c r="Q39" s="99">
        <f t="shared" si="15"/>
        <v>0.18205572594497263</v>
      </c>
      <c r="R39" s="82">
        <v>100</v>
      </c>
    </row>
    <row r="40" spans="1:18" ht="81.75" customHeight="1" thickTop="1" thickBot="1">
      <c r="A40" s="83" t="s">
        <v>203</v>
      </c>
      <c r="B40" s="99">
        <v>58637.532537800005</v>
      </c>
      <c r="C40" s="99">
        <v>69625.826423880004</v>
      </c>
      <c r="D40" s="99">
        <v>6824.5759766700003</v>
      </c>
      <c r="E40" s="99">
        <v>1579.0391392899999</v>
      </c>
      <c r="F40" s="99">
        <v>15103.090616709998</v>
      </c>
      <c r="G40" s="99">
        <v>16700.8240286</v>
      </c>
      <c r="H40" s="99">
        <v>271.86435262999998</v>
      </c>
      <c r="I40" s="99">
        <v>2855.3586141099995</v>
      </c>
      <c r="J40" s="99">
        <v>580.88156636999997</v>
      </c>
      <c r="K40" s="99">
        <v>3731.0701439099998</v>
      </c>
      <c r="L40" s="99">
        <v>35.353239049999999</v>
      </c>
      <c r="M40" s="99">
        <v>2747.0323444200003</v>
      </c>
      <c r="N40" s="99">
        <v>2888.5404125699997</v>
      </c>
      <c r="O40" s="99">
        <v>2422.3012870799998</v>
      </c>
      <c r="P40" s="99">
        <v>0</v>
      </c>
      <c r="Q40" s="99">
        <v>698.18072281999991</v>
      </c>
      <c r="R40" s="94">
        <v>184701.47140590995</v>
      </c>
    </row>
    <row r="41" spans="1:18" ht="81.75" customHeight="1" thickTop="1" thickBot="1">
      <c r="A41" s="83" t="s">
        <v>204</v>
      </c>
      <c r="B41" s="99">
        <f t="shared" ref="B41:Q41" si="16">(B40/$R40)*100</f>
        <v>31.747192965742538</v>
      </c>
      <c r="C41" s="99">
        <f t="shared" si="16"/>
        <v>37.696411346321398</v>
      </c>
      <c r="D41" s="99">
        <f t="shared" si="16"/>
        <v>3.6949223656545445</v>
      </c>
      <c r="E41" s="99">
        <f t="shared" si="16"/>
        <v>0.85491421766739373</v>
      </c>
      <c r="F41" s="99">
        <f t="shared" si="16"/>
        <v>8.1770277744667386</v>
      </c>
      <c r="G41" s="99">
        <f t="shared" si="16"/>
        <v>9.042063336841192</v>
      </c>
      <c r="H41" s="99">
        <f t="shared" si="16"/>
        <v>0.14719122190019598</v>
      </c>
      <c r="I41" s="99">
        <f t="shared" si="16"/>
        <v>1.5459317093554219</v>
      </c>
      <c r="J41" s="99">
        <f t="shared" si="16"/>
        <v>0.31449753050067653</v>
      </c>
      <c r="K41" s="99">
        <f t="shared" si="16"/>
        <v>2.0200543696321716</v>
      </c>
      <c r="L41" s="99">
        <f t="shared" si="16"/>
        <v>1.914074575632687E-2</v>
      </c>
      <c r="M41" s="99">
        <f t="shared" si="16"/>
        <v>1.4872823283486321</v>
      </c>
      <c r="N41" s="99">
        <f t="shared" si="16"/>
        <v>1.5638968063345779</v>
      </c>
      <c r="O41" s="99">
        <f t="shared" si="16"/>
        <v>1.3114683216337888</v>
      </c>
      <c r="P41" s="99">
        <f t="shared" si="16"/>
        <v>0</v>
      </c>
      <c r="Q41" s="99">
        <f t="shared" si="16"/>
        <v>0.3780049598444401</v>
      </c>
      <c r="R41" s="82">
        <v>100</v>
      </c>
    </row>
    <row r="42" spans="1:18" ht="81.75" customHeight="1" thickTop="1" thickBot="1">
      <c r="A42" s="83" t="s">
        <v>205</v>
      </c>
      <c r="B42" s="99">
        <v>62816.998871510004</v>
      </c>
      <c r="C42" s="99">
        <v>81764.859222210012</v>
      </c>
      <c r="D42" s="99">
        <v>10662.707106299998</v>
      </c>
      <c r="E42" s="99">
        <v>1617.2552908099999</v>
      </c>
      <c r="F42" s="99">
        <v>8838.8427936300013</v>
      </c>
      <c r="G42" s="99">
        <v>4942.5829585499996</v>
      </c>
      <c r="H42" s="99">
        <v>16.723663550000001</v>
      </c>
      <c r="I42" s="99">
        <v>2433.8821422300002</v>
      </c>
      <c r="J42" s="99">
        <v>631.79790145000004</v>
      </c>
      <c r="K42" s="99">
        <v>3587.0335350299997</v>
      </c>
      <c r="L42" s="99">
        <v>24.060260969999998</v>
      </c>
      <c r="M42" s="99">
        <v>2848.1311191599998</v>
      </c>
      <c r="N42" s="99">
        <v>2367.4998450799999</v>
      </c>
      <c r="O42" s="99">
        <v>1922.48334894</v>
      </c>
      <c r="P42" s="99">
        <v>0</v>
      </c>
      <c r="Q42" s="99">
        <v>226.61334649</v>
      </c>
      <c r="R42" s="94">
        <v>184701.47140590995</v>
      </c>
    </row>
    <row r="43" spans="1:18" ht="81.75" customHeight="1" thickTop="1" thickBot="1">
      <c r="A43" s="83" t="s">
        <v>206</v>
      </c>
      <c r="B43" s="99">
        <f t="shared" ref="B43:Q43" si="17">(B42/$R42)*100</f>
        <v>34.010015401263352</v>
      </c>
      <c r="C43" s="99">
        <f t="shared" si="17"/>
        <v>44.268656118347394</v>
      </c>
      <c r="D43" s="99">
        <f t="shared" si="17"/>
        <v>5.7729410735808688</v>
      </c>
      <c r="E43" s="99">
        <f t="shared" si="17"/>
        <v>0.87560498489794492</v>
      </c>
      <c r="F43" s="99">
        <f t="shared" si="17"/>
        <v>4.7854750297063315</v>
      </c>
      <c r="G43" s="99">
        <f t="shared" si="17"/>
        <v>2.6759846150266511</v>
      </c>
      <c r="H43" s="99">
        <f t="shared" si="17"/>
        <v>9.0544289781250165E-3</v>
      </c>
      <c r="I43" s="99">
        <f t="shared" si="17"/>
        <v>1.3177383610990132</v>
      </c>
      <c r="J43" s="99">
        <f t="shared" si="17"/>
        <v>0.34206435749584624</v>
      </c>
      <c r="K43" s="99">
        <f t="shared" si="17"/>
        <v>1.9420709037812376</v>
      </c>
      <c r="L43" s="99">
        <f t="shared" si="17"/>
        <v>1.3026567025621504E-2</v>
      </c>
      <c r="M43" s="99">
        <f t="shared" si="17"/>
        <v>1.5420186409348049</v>
      </c>
      <c r="N43" s="99">
        <f t="shared" si="17"/>
        <v>1.2817980425705726</v>
      </c>
      <c r="O43" s="99">
        <f t="shared" si="17"/>
        <v>1.0408597908324437</v>
      </c>
      <c r="P43" s="99">
        <f t="shared" si="17"/>
        <v>0</v>
      </c>
      <c r="Q43" s="99">
        <f t="shared" si="17"/>
        <v>0.12269168445982882</v>
      </c>
      <c r="R43" s="82">
        <v>100</v>
      </c>
    </row>
    <row r="44" spans="1:18" ht="81.75" customHeight="1" thickTop="1" thickBot="1">
      <c r="A44" s="83" t="s">
        <v>207</v>
      </c>
      <c r="B44" s="99">
        <v>47311.88</v>
      </c>
      <c r="C44" s="99">
        <v>85425.23</v>
      </c>
      <c r="D44" s="99">
        <v>4814.41</v>
      </c>
      <c r="E44" s="99">
        <v>1594.5</v>
      </c>
      <c r="F44" s="99">
        <v>7894.45</v>
      </c>
      <c r="G44" s="99">
        <v>4865.66</v>
      </c>
      <c r="H44" s="99">
        <v>77.69</v>
      </c>
      <c r="I44" s="99">
        <v>2136.06</v>
      </c>
      <c r="J44" s="99">
        <v>551.08000000000004</v>
      </c>
      <c r="K44" s="99">
        <v>3380.81</v>
      </c>
      <c r="L44" s="99">
        <v>207.68</v>
      </c>
      <c r="M44" s="99">
        <v>2101.17</v>
      </c>
      <c r="N44" s="99">
        <v>2575.41</v>
      </c>
      <c r="O44" s="99">
        <v>1752.51</v>
      </c>
      <c r="P44" s="99">
        <v>5785.49</v>
      </c>
      <c r="Q44" s="99">
        <v>393.41</v>
      </c>
      <c r="R44" s="94">
        <v>170867.44</v>
      </c>
    </row>
    <row r="45" spans="1:18" ht="81.75" customHeight="1" thickTop="1" thickBot="1">
      <c r="A45" s="83" t="s">
        <v>208</v>
      </c>
      <c r="B45" s="99">
        <f t="shared" ref="B45:Q45" si="18">(B44/$R44)*100</f>
        <v>27.689230903207772</v>
      </c>
      <c r="C45" s="99">
        <f t="shared" si="18"/>
        <v>49.995031235910126</v>
      </c>
      <c r="D45" s="99">
        <f t="shared" si="18"/>
        <v>2.8176286833816904</v>
      </c>
      <c r="E45" s="99">
        <f t="shared" si="18"/>
        <v>0.93317954550030136</v>
      </c>
      <c r="F45" s="99">
        <f t="shared" si="18"/>
        <v>4.6202190423172489</v>
      </c>
      <c r="G45" s="99">
        <f t="shared" si="18"/>
        <v>2.8476226951138264</v>
      </c>
      <c r="H45" s="99">
        <f t="shared" si="18"/>
        <v>4.5467995540870741E-2</v>
      </c>
      <c r="I45" s="99">
        <f t="shared" si="18"/>
        <v>1.2501269990350414</v>
      </c>
      <c r="J45" s="99">
        <f t="shared" si="18"/>
        <v>0.32251902410429983</v>
      </c>
      <c r="K45" s="99">
        <f t="shared" si="18"/>
        <v>1.9786157034950604</v>
      </c>
      <c r="L45" s="99">
        <f t="shared" si="18"/>
        <v>0.12154451427375515</v>
      </c>
      <c r="M45" s="99">
        <f t="shared" si="18"/>
        <v>1.229707661096813</v>
      </c>
      <c r="N45" s="99">
        <f t="shared" si="18"/>
        <v>1.5072561513182381</v>
      </c>
      <c r="O45" s="99">
        <f t="shared" si="18"/>
        <v>1.0256547414767847</v>
      </c>
      <c r="P45" s="99">
        <f t="shared" si="18"/>
        <v>3.3859522914371514</v>
      </c>
      <c r="Q45" s="99">
        <f t="shared" si="18"/>
        <v>0.23024281279101508</v>
      </c>
      <c r="R45" s="82">
        <v>100</v>
      </c>
    </row>
    <row r="46" spans="1:18" ht="81.75" customHeight="1" thickTop="1" thickBot="1">
      <c r="A46" s="83" t="s">
        <v>209</v>
      </c>
      <c r="B46" s="99">
        <v>47831.66</v>
      </c>
      <c r="C46" s="99">
        <v>70391.759999999995</v>
      </c>
      <c r="D46" s="99">
        <v>4936.25</v>
      </c>
      <c r="E46" s="99">
        <v>1363.65</v>
      </c>
      <c r="F46" s="99">
        <v>24562.45</v>
      </c>
      <c r="G46" s="99">
        <v>8002.79</v>
      </c>
      <c r="H46" s="99">
        <v>131.33000000000001</v>
      </c>
      <c r="I46" s="99">
        <v>2577.0100000000002</v>
      </c>
      <c r="J46" s="99">
        <v>550.46</v>
      </c>
      <c r="K46" s="99">
        <v>2858.62</v>
      </c>
      <c r="L46" s="99">
        <v>23.93</v>
      </c>
      <c r="M46" s="99">
        <v>2994.03</v>
      </c>
      <c r="N46" s="99">
        <v>2333.65</v>
      </c>
      <c r="O46" s="99">
        <v>1990.43</v>
      </c>
      <c r="P46" s="99">
        <v>0</v>
      </c>
      <c r="Q46" s="99">
        <v>319.42</v>
      </c>
      <c r="R46" s="94">
        <v>170867.44</v>
      </c>
    </row>
    <row r="47" spans="1:18" ht="81.75" customHeight="1" thickTop="1" thickBot="1">
      <c r="A47" s="83" t="s">
        <v>210</v>
      </c>
      <c r="B47" s="99">
        <f t="shared" ref="B47:Q47" si="19">(B46/$R46)*100</f>
        <v>27.993431633317616</v>
      </c>
      <c r="C47" s="99">
        <f t="shared" si="19"/>
        <v>41.196707810452352</v>
      </c>
      <c r="D47" s="99">
        <f t="shared" si="19"/>
        <v>2.8889354226879034</v>
      </c>
      <c r="E47" s="99">
        <f t="shared" si="19"/>
        <v>0.79807481167857386</v>
      </c>
      <c r="F47" s="99">
        <f t="shared" si="19"/>
        <v>14.375149531121902</v>
      </c>
      <c r="G47" s="99">
        <f t="shared" si="19"/>
        <v>4.6836249199964604</v>
      </c>
      <c r="H47" s="99">
        <f t="shared" si="19"/>
        <v>7.6860752405490493E-2</v>
      </c>
      <c r="I47" s="99">
        <f t="shared" si="19"/>
        <v>1.5081925497332904</v>
      </c>
      <c r="J47" s="99">
        <f t="shared" si="19"/>
        <v>0.32215616971846717</v>
      </c>
      <c r="K47" s="99">
        <f t="shared" si="19"/>
        <v>1.6730045232725439</v>
      </c>
      <c r="L47" s="99">
        <f t="shared" si="19"/>
        <v>1.4005008795122113E-2</v>
      </c>
      <c r="M47" s="99">
        <f t="shared" si="19"/>
        <v>1.7522530916364174</v>
      </c>
      <c r="N47" s="99">
        <f t="shared" si="19"/>
        <v>1.3657663508038747</v>
      </c>
      <c r="O47" s="99">
        <f t="shared" si="19"/>
        <v>1.1648971857950232</v>
      </c>
      <c r="P47" s="99">
        <f t="shared" si="19"/>
        <v>0</v>
      </c>
      <c r="Q47" s="99">
        <f t="shared" si="19"/>
        <v>0.18694023858495218</v>
      </c>
      <c r="R47" s="82">
        <v>100</v>
      </c>
    </row>
    <row r="48" spans="1:18" ht="81.75" customHeight="1" thickTop="1" thickBot="1">
      <c r="A48" s="83" t="s">
        <v>527</v>
      </c>
      <c r="B48" s="99">
        <v>74082.75</v>
      </c>
      <c r="C48" s="99">
        <v>110790.82</v>
      </c>
      <c r="D48" s="99">
        <v>7772.34</v>
      </c>
      <c r="E48" s="99">
        <v>1932.27</v>
      </c>
      <c r="F48" s="99">
        <v>11597.41</v>
      </c>
      <c r="G48" s="99">
        <v>5495.76</v>
      </c>
      <c r="H48" s="99">
        <v>29.17</v>
      </c>
      <c r="I48" s="99">
        <v>2520.34</v>
      </c>
      <c r="J48" s="99">
        <v>853.85</v>
      </c>
      <c r="K48" s="99">
        <v>3291.74</v>
      </c>
      <c r="L48" s="99">
        <v>403.92</v>
      </c>
      <c r="M48" s="99">
        <v>3151.71</v>
      </c>
      <c r="N48" s="99">
        <v>3478.8</v>
      </c>
      <c r="O48" s="99">
        <v>3060.53</v>
      </c>
      <c r="P48" s="99">
        <v>138.16999999999999</v>
      </c>
      <c r="Q48" s="99">
        <v>621.91999999999996</v>
      </c>
      <c r="R48" s="94">
        <v>229221.51</v>
      </c>
    </row>
    <row r="49" spans="1:18" ht="81.75" customHeight="1" thickTop="1" thickBot="1">
      <c r="A49" s="83" t="s">
        <v>528</v>
      </c>
      <c r="B49" s="99">
        <f t="shared" ref="B49:Q49" si="20">(B48/$R48)*100</f>
        <v>32.319283648380122</v>
      </c>
      <c r="C49" s="99">
        <f t="shared" si="20"/>
        <v>48.33351808911825</v>
      </c>
      <c r="D49" s="99">
        <f t="shared" si="20"/>
        <v>3.390755082278273</v>
      </c>
      <c r="E49" s="99">
        <f t="shared" si="20"/>
        <v>0.84297062697126446</v>
      </c>
      <c r="F49" s="99">
        <f t="shared" si="20"/>
        <v>5.0594771843183475</v>
      </c>
      <c r="G49" s="99">
        <f t="shared" si="20"/>
        <v>2.3975760390026224</v>
      </c>
      <c r="H49" s="99">
        <f t="shared" si="20"/>
        <v>1.272568180883199E-2</v>
      </c>
      <c r="I49" s="99">
        <f t="shared" si="20"/>
        <v>1.0995215937631682</v>
      </c>
      <c r="J49" s="99">
        <f t="shared" si="20"/>
        <v>0.37249994557666077</v>
      </c>
      <c r="K49" s="99">
        <f t="shared" si="20"/>
        <v>1.436051965629229</v>
      </c>
      <c r="L49" s="99">
        <f t="shared" si="20"/>
        <v>0.17621382914718606</v>
      </c>
      <c r="M49" s="99">
        <f t="shared" si="20"/>
        <v>1.3749625853175822</v>
      </c>
      <c r="N49" s="99">
        <f t="shared" si="20"/>
        <v>1.5176586176402032</v>
      </c>
      <c r="O49" s="99">
        <f t="shared" si="20"/>
        <v>1.335184468508213</v>
      </c>
      <c r="P49" s="99">
        <f t="shared" si="20"/>
        <v>6.0277938139400612E-2</v>
      </c>
      <c r="Q49" s="99">
        <f t="shared" si="20"/>
        <v>0.27131834180832326</v>
      </c>
      <c r="R49" s="82">
        <v>100</v>
      </c>
    </row>
    <row r="50" spans="1:18" ht="81.75" customHeight="1" thickTop="1" thickBot="1">
      <c r="A50" s="83" t="s">
        <v>529</v>
      </c>
      <c r="B50" s="99">
        <v>72354.05</v>
      </c>
      <c r="C50" s="99">
        <v>92025.1</v>
      </c>
      <c r="D50" s="99">
        <v>5727.45</v>
      </c>
      <c r="E50" s="99">
        <v>1596.75</v>
      </c>
      <c r="F50" s="99">
        <v>27424.17</v>
      </c>
      <c r="G50" s="99">
        <v>15471.11</v>
      </c>
      <c r="H50" s="99">
        <v>60.67</v>
      </c>
      <c r="I50" s="99">
        <v>2367.5</v>
      </c>
      <c r="J50" s="99">
        <v>588.25</v>
      </c>
      <c r="K50" s="99">
        <v>3201.87</v>
      </c>
      <c r="L50" s="99">
        <v>9.73</v>
      </c>
      <c r="M50" s="99">
        <v>1650.88</v>
      </c>
      <c r="N50" s="99">
        <v>3078.31</v>
      </c>
      <c r="O50" s="99">
        <v>2387.14</v>
      </c>
      <c r="P50" s="99">
        <v>0</v>
      </c>
      <c r="Q50" s="99">
        <v>1278.52</v>
      </c>
      <c r="R50" s="94">
        <v>229221.51</v>
      </c>
    </row>
    <row r="51" spans="1:18" ht="81.75" customHeight="1" thickTop="1" thickBot="1">
      <c r="A51" s="83" t="s">
        <v>530</v>
      </c>
      <c r="B51" s="99">
        <f t="shared" ref="B51:Q51" si="21">(B50/$R50)*100</f>
        <v>31.565122313346595</v>
      </c>
      <c r="C51" s="99">
        <f t="shared" si="21"/>
        <v>40.146799486662488</v>
      </c>
      <c r="D51" s="99">
        <f t="shared" si="21"/>
        <v>2.4986529405551861</v>
      </c>
      <c r="E51" s="99">
        <f t="shared" si="21"/>
        <v>0.69659692931959138</v>
      </c>
      <c r="F51" s="99">
        <f t="shared" si="21"/>
        <v>11.964047353147615</v>
      </c>
      <c r="G51" s="99">
        <f t="shared" si="21"/>
        <v>6.7494145728295747</v>
      </c>
      <c r="H51" s="99">
        <f t="shared" si="21"/>
        <v>2.6467847629133935E-2</v>
      </c>
      <c r="I51" s="99">
        <f t="shared" si="21"/>
        <v>1.0328437326845983</v>
      </c>
      <c r="J51" s="99">
        <f t="shared" si="21"/>
        <v>0.25662949345373387</v>
      </c>
      <c r="K51" s="99">
        <f t="shared" si="21"/>
        <v>1.3968453484142913</v>
      </c>
      <c r="L51" s="99">
        <f t="shared" si="21"/>
        <v>4.2448023311599335E-3</v>
      </c>
      <c r="M51" s="99">
        <f t="shared" si="21"/>
        <v>0.72021164156889117</v>
      </c>
      <c r="N51" s="99">
        <f t="shared" si="21"/>
        <v>1.3429411576601165</v>
      </c>
      <c r="O51" s="99">
        <f t="shared" si="21"/>
        <v>1.0414118640087484</v>
      </c>
      <c r="P51" s="99">
        <f t="shared" si="21"/>
        <v>0</v>
      </c>
      <c r="Q51" s="99">
        <f t="shared" si="21"/>
        <v>0.5577661537959504</v>
      </c>
      <c r="R51" s="82">
        <v>100</v>
      </c>
    </row>
    <row r="52" spans="1:18" ht="81.75" customHeight="1" thickTop="1" thickBot="1">
      <c r="A52" s="83" t="s">
        <v>211</v>
      </c>
      <c r="B52" s="99">
        <v>76339.381294999999</v>
      </c>
      <c r="C52" s="99">
        <v>112063.08207400001</v>
      </c>
      <c r="D52" s="99">
        <v>13440.028251</v>
      </c>
      <c r="E52" s="99">
        <v>2097.6770259999998</v>
      </c>
      <c r="F52" s="99">
        <v>7743.7012070000001</v>
      </c>
      <c r="G52" s="99">
        <v>5961.7399150000001</v>
      </c>
      <c r="H52" s="99">
        <v>513.49494100000004</v>
      </c>
      <c r="I52" s="99">
        <v>2930.1579969999998</v>
      </c>
      <c r="J52" s="99">
        <v>632.75897999999995</v>
      </c>
      <c r="K52" s="99">
        <v>4855.016071</v>
      </c>
      <c r="L52" s="99">
        <v>15.112845999999999</v>
      </c>
      <c r="M52" s="99">
        <v>3523.5142919999998</v>
      </c>
      <c r="N52" s="99">
        <v>3560.494013</v>
      </c>
      <c r="O52" s="99">
        <v>3298.2620160000001</v>
      </c>
      <c r="P52" s="99">
        <v>10.869016</v>
      </c>
      <c r="Q52" s="99">
        <v>293.03335499999997</v>
      </c>
      <c r="R52" s="94">
        <v>237278.32329500004</v>
      </c>
    </row>
    <row r="53" spans="1:18" ht="81.75" customHeight="1" thickTop="1" thickBot="1">
      <c r="A53" s="83" t="s">
        <v>212</v>
      </c>
      <c r="B53" s="99">
        <f t="shared" ref="B53:Q53" si="22">(B52/$R52)*100</f>
        <v>32.172926812235545</v>
      </c>
      <c r="C53" s="99">
        <f t="shared" si="22"/>
        <v>47.228537574701171</v>
      </c>
      <c r="D53" s="99">
        <f t="shared" si="22"/>
        <v>5.6642461327116136</v>
      </c>
      <c r="E53" s="99">
        <f t="shared" si="22"/>
        <v>0.88405758978329829</v>
      </c>
      <c r="F53" s="99">
        <f t="shared" si="22"/>
        <v>3.2635518910728822</v>
      </c>
      <c r="G53" s="99">
        <f t="shared" si="22"/>
        <v>2.5125514342024293</v>
      </c>
      <c r="H53" s="99">
        <f t="shared" si="22"/>
        <v>0.21641038838663293</v>
      </c>
      <c r="I53" s="99">
        <f t="shared" si="22"/>
        <v>1.2349033642474936</v>
      </c>
      <c r="J53" s="99">
        <f t="shared" si="22"/>
        <v>0.26667374044670417</v>
      </c>
      <c r="K53" s="99">
        <f t="shared" si="22"/>
        <v>2.0461270981605528</v>
      </c>
      <c r="L53" s="99">
        <f t="shared" si="22"/>
        <v>6.3692484800690003E-3</v>
      </c>
      <c r="M53" s="99">
        <f t="shared" si="22"/>
        <v>1.4849710007514403</v>
      </c>
      <c r="N53" s="99">
        <f t="shared" si="22"/>
        <v>1.5005559562106985</v>
      </c>
      <c r="O53" s="99">
        <f t="shared" si="22"/>
        <v>1.3900393302675962</v>
      </c>
      <c r="P53" s="99">
        <f t="shared" si="22"/>
        <v>4.5807033061705024E-3</v>
      </c>
      <c r="Q53" s="99">
        <f t="shared" si="22"/>
        <v>0.12349773503569546</v>
      </c>
      <c r="R53" s="82">
        <v>100</v>
      </c>
    </row>
    <row r="54" spans="1:18" ht="81.75" customHeight="1" thickTop="1" thickBot="1">
      <c r="A54" s="83" t="s">
        <v>213</v>
      </c>
      <c r="B54" s="99">
        <v>74576.725420000002</v>
      </c>
      <c r="C54" s="99">
        <v>90610.713688999997</v>
      </c>
      <c r="D54" s="99">
        <v>7536.1520650000002</v>
      </c>
      <c r="E54" s="99">
        <v>2207.340087</v>
      </c>
      <c r="F54" s="99">
        <v>25135.428490999999</v>
      </c>
      <c r="G54" s="99">
        <v>9534.4746579999992</v>
      </c>
      <c r="H54" s="99">
        <v>0</v>
      </c>
      <c r="I54" s="99">
        <v>3691.6347569999998</v>
      </c>
      <c r="J54" s="99">
        <v>799.75905399999999</v>
      </c>
      <c r="K54" s="99">
        <v>5185.6489659999997</v>
      </c>
      <c r="L54" s="99">
        <v>35.671858999999998</v>
      </c>
      <c r="M54" s="99">
        <v>8151.8990359999998</v>
      </c>
      <c r="N54" s="99">
        <v>3044.1351629999999</v>
      </c>
      <c r="O54" s="99">
        <v>6649.6840529999999</v>
      </c>
      <c r="P54" s="99">
        <v>0</v>
      </c>
      <c r="Q54" s="99">
        <v>119.055998</v>
      </c>
      <c r="R54" s="94">
        <v>237278.32329599996</v>
      </c>
    </row>
    <row r="55" spans="1:18" ht="81.75" customHeight="1" thickTop="1" thickBot="1">
      <c r="A55" s="83" t="s">
        <v>214</v>
      </c>
      <c r="B55" s="99">
        <f t="shared" ref="B55:Q55" si="23">(B54/$R54)*100</f>
        <v>31.430062545986146</v>
      </c>
      <c r="C55" s="99">
        <f t="shared" si="23"/>
        <v>38.187522749798326</v>
      </c>
      <c r="D55" s="99">
        <f t="shared" si="23"/>
        <v>3.1760811355695568</v>
      </c>
      <c r="E55" s="99">
        <f t="shared" si="23"/>
        <v>0.93027464807494753</v>
      </c>
      <c r="F55" s="99">
        <f t="shared" si="23"/>
        <v>10.593225770414795</v>
      </c>
      <c r="G55" s="99">
        <f t="shared" si="23"/>
        <v>4.0182661970794245</v>
      </c>
      <c r="H55" s="99">
        <f t="shared" si="23"/>
        <v>0</v>
      </c>
      <c r="I55" s="99">
        <f t="shared" si="23"/>
        <v>1.5558246980676609</v>
      </c>
      <c r="J55" s="99">
        <f t="shared" si="23"/>
        <v>0.33705525346380527</v>
      </c>
      <c r="K55" s="99">
        <f t="shared" si="23"/>
        <v>2.1854710088839453</v>
      </c>
      <c r="L55" s="99">
        <f t="shared" si="23"/>
        <v>1.5033762252062134E-2</v>
      </c>
      <c r="M55" s="99">
        <f t="shared" si="23"/>
        <v>3.4355852328873162</v>
      </c>
      <c r="N55" s="99">
        <f t="shared" si="23"/>
        <v>1.2829385848291341</v>
      </c>
      <c r="O55" s="99">
        <f t="shared" si="23"/>
        <v>2.8024827386801161</v>
      </c>
      <c r="P55" s="99">
        <f t="shared" si="23"/>
        <v>0</v>
      </c>
      <c r="Q55" s="99">
        <f t="shared" si="23"/>
        <v>5.0175674012783729E-2</v>
      </c>
      <c r="R55" s="82">
        <v>100</v>
      </c>
    </row>
    <row r="56" spans="1:18" ht="81.75" customHeight="1" thickTop="1" thickBot="1">
      <c r="A56" s="83" t="s">
        <v>215</v>
      </c>
      <c r="B56" s="99">
        <v>79921.236141999994</v>
      </c>
      <c r="C56" s="99">
        <v>107219.610489</v>
      </c>
      <c r="D56" s="99">
        <v>13000.361444</v>
      </c>
      <c r="E56" s="99">
        <v>2043.6596959999999</v>
      </c>
      <c r="F56" s="99">
        <v>8199.1487649999999</v>
      </c>
      <c r="G56" s="99">
        <v>6279.8798489999999</v>
      </c>
      <c r="H56" s="99">
        <v>1.723957</v>
      </c>
      <c r="I56" s="99">
        <v>2490.6089579999998</v>
      </c>
      <c r="J56" s="99">
        <v>839.605099</v>
      </c>
      <c r="K56" s="99">
        <v>4539.7936200000004</v>
      </c>
      <c r="L56" s="99">
        <v>20.686885</v>
      </c>
      <c r="M56" s="99">
        <v>4784.2401060000002</v>
      </c>
      <c r="N56" s="99">
        <v>3524.273533</v>
      </c>
      <c r="O56" s="99">
        <v>5428.2216770000005</v>
      </c>
      <c r="P56" s="99">
        <v>5.2858729999999996</v>
      </c>
      <c r="Q56" s="99">
        <v>2.5677819999999998</v>
      </c>
      <c r="R56" s="94">
        <v>238300.90387499999</v>
      </c>
    </row>
    <row r="57" spans="1:18" ht="81.75" customHeight="1" thickTop="1" thickBot="1">
      <c r="A57" s="83" t="s">
        <v>216</v>
      </c>
      <c r="B57" s="99">
        <f t="shared" ref="B57:Q57" si="24">(B56/$R56)*100</f>
        <v>33.537949224029148</v>
      </c>
      <c r="C57" s="99">
        <f t="shared" si="24"/>
        <v>44.99337129885236</v>
      </c>
      <c r="D57" s="99">
        <f t="shared" si="24"/>
        <v>5.4554394182320438</v>
      </c>
      <c r="E57" s="99">
        <f t="shared" si="24"/>
        <v>0.85759628384456132</v>
      </c>
      <c r="F57" s="99">
        <f t="shared" si="24"/>
        <v>3.440670442987845</v>
      </c>
      <c r="G57" s="99">
        <f t="shared" si="24"/>
        <v>2.6352731974084711</v>
      </c>
      <c r="H57" s="99">
        <f t="shared" si="24"/>
        <v>7.2343703778156721E-4</v>
      </c>
      <c r="I57" s="99">
        <f t="shared" si="24"/>
        <v>1.0451529631236487</v>
      </c>
      <c r="J57" s="99">
        <f t="shared" si="24"/>
        <v>0.35232980041083362</v>
      </c>
      <c r="K57" s="99">
        <f t="shared" si="24"/>
        <v>1.9050677299912111</v>
      </c>
      <c r="L57" s="99">
        <f t="shared" si="24"/>
        <v>8.6809930905051222E-3</v>
      </c>
      <c r="M57" s="99">
        <f t="shared" si="24"/>
        <v>2.0076466468249565</v>
      </c>
      <c r="N57" s="99">
        <f t="shared" si="24"/>
        <v>1.4789174005183996</v>
      </c>
      <c r="O57" s="99">
        <f t="shared" si="24"/>
        <v>2.277885475351515</v>
      </c>
      <c r="P57" s="99">
        <f t="shared" si="24"/>
        <v>2.2181506297486342E-3</v>
      </c>
      <c r="Q57" s="99">
        <f t="shared" si="24"/>
        <v>1.0775376669770931E-3</v>
      </c>
      <c r="R57" s="82">
        <v>100</v>
      </c>
    </row>
    <row r="58" spans="1:18" ht="81.75" customHeight="1" thickTop="1" thickBot="1">
      <c r="A58" s="83" t="s">
        <v>217</v>
      </c>
      <c r="B58" s="99">
        <v>78536.912114000006</v>
      </c>
      <c r="C58" s="99">
        <v>88704.091885999995</v>
      </c>
      <c r="D58" s="99">
        <v>7597.4642480000002</v>
      </c>
      <c r="E58" s="99">
        <v>1886.684577</v>
      </c>
      <c r="F58" s="99">
        <v>26418.273823</v>
      </c>
      <c r="G58" s="99">
        <v>9291.949251</v>
      </c>
      <c r="H58" s="99">
        <v>0</v>
      </c>
      <c r="I58" s="99">
        <v>2952.9106879999999</v>
      </c>
      <c r="J58" s="99">
        <v>593.85359300000005</v>
      </c>
      <c r="K58" s="99">
        <v>5100.7069890000002</v>
      </c>
      <c r="L58" s="99">
        <v>13.970786</v>
      </c>
      <c r="M58" s="99">
        <v>6057.0804099999996</v>
      </c>
      <c r="N58" s="99">
        <v>2586.5881300000001</v>
      </c>
      <c r="O58" s="99">
        <v>8557.3696459999992</v>
      </c>
      <c r="P58" s="99">
        <v>0</v>
      </c>
      <c r="Q58" s="99">
        <v>3.0477340000000002</v>
      </c>
      <c r="R58" s="94">
        <v>238300.90387500002</v>
      </c>
    </row>
    <row r="59" spans="1:18" ht="81.75" customHeight="1" thickTop="1" thickBot="1">
      <c r="A59" s="83" t="s">
        <v>218</v>
      </c>
      <c r="B59" s="99">
        <f>(B58/$R58)*100</f>
        <v>32.957034923877707</v>
      </c>
      <c r="C59" s="99">
        <f t="shared" ref="C59:Q59" si="25">(C58/$R58)*100</f>
        <v>37.223565015317547</v>
      </c>
      <c r="D59" s="99">
        <f t="shared" si="25"/>
        <v>3.1881810452490882</v>
      </c>
      <c r="E59" s="99">
        <f t="shared" si="25"/>
        <v>0.79172363441376381</v>
      </c>
      <c r="F59" s="99">
        <f t="shared" si="25"/>
        <v>11.08609887474771</v>
      </c>
      <c r="G59" s="99">
        <f t="shared" si="25"/>
        <v>3.8992505273391922</v>
      </c>
      <c r="H59" s="99">
        <f t="shared" si="25"/>
        <v>0</v>
      </c>
      <c r="I59" s="99">
        <f t="shared" si="25"/>
        <v>1.2391521139797859</v>
      </c>
      <c r="J59" s="99">
        <f t="shared" si="25"/>
        <v>0.24920324822246756</v>
      </c>
      <c r="K59" s="99">
        <f t="shared" si="25"/>
        <v>2.1404480243497352</v>
      </c>
      <c r="L59" s="99">
        <f t="shared" si="25"/>
        <v>5.8626659709727046E-3</v>
      </c>
      <c r="M59" s="99">
        <f t="shared" si="25"/>
        <v>2.5417781936644359</v>
      </c>
      <c r="N59" s="99">
        <f t="shared" si="25"/>
        <v>1.0854294247061633</v>
      </c>
      <c r="O59" s="99">
        <f t="shared" si="25"/>
        <v>3.5909933646280838</v>
      </c>
      <c r="P59" s="99">
        <f t="shared" si="25"/>
        <v>0</v>
      </c>
      <c r="Q59" s="99">
        <f t="shared" si="25"/>
        <v>1.2789435333399656E-3</v>
      </c>
      <c r="R59" s="82">
        <v>100</v>
      </c>
    </row>
    <row r="60" spans="1:18" ht="81.75" customHeight="1" thickTop="1" thickBot="1">
      <c r="A60" s="83" t="s">
        <v>219</v>
      </c>
      <c r="B60" s="99">
        <v>59436.326762999997</v>
      </c>
      <c r="C60" s="99">
        <v>80727.695559</v>
      </c>
      <c r="D60" s="99">
        <v>5829.5303750000003</v>
      </c>
      <c r="E60" s="99">
        <v>1706.825474</v>
      </c>
      <c r="F60" s="99">
        <v>5314.9834229999997</v>
      </c>
      <c r="G60" s="99">
        <v>2959.8791670000001</v>
      </c>
      <c r="H60" s="99">
        <v>0.84562300000000001</v>
      </c>
      <c r="I60" s="99">
        <v>6015.4548919999997</v>
      </c>
      <c r="J60" s="99">
        <v>577.24109799999997</v>
      </c>
      <c r="K60" s="99">
        <v>2963.3629569999998</v>
      </c>
      <c r="L60" s="99">
        <v>13.495125</v>
      </c>
      <c r="M60" s="99">
        <v>4179.203544</v>
      </c>
      <c r="N60" s="99">
        <v>2368.9043860000002</v>
      </c>
      <c r="O60" s="99">
        <v>4364.3443459999999</v>
      </c>
      <c r="P60" s="99">
        <v>767.64371900000003</v>
      </c>
      <c r="Q60" s="99">
        <v>1.3123959999999999</v>
      </c>
      <c r="R60" s="94">
        <v>177227.04884700003</v>
      </c>
    </row>
    <row r="61" spans="1:18" ht="81.75" customHeight="1" thickTop="1" thickBot="1">
      <c r="A61" s="83" t="s">
        <v>220</v>
      </c>
      <c r="B61" s="99">
        <f>(B60/$R60)*100</f>
        <v>33.536825868105119</v>
      </c>
      <c r="C61" s="99">
        <f t="shared" ref="C61:Q61" si="26">(C60/$R60)*100</f>
        <v>45.550437184502321</v>
      </c>
      <c r="D61" s="99">
        <f t="shared" si="26"/>
        <v>3.2893005965656119</v>
      </c>
      <c r="E61" s="99">
        <f t="shared" si="26"/>
        <v>0.96307278437700616</v>
      </c>
      <c r="F61" s="99">
        <f t="shared" si="26"/>
        <v>2.9989685308072929</v>
      </c>
      <c r="G61" s="99">
        <f t="shared" si="26"/>
        <v>1.6701057689874763</v>
      </c>
      <c r="H61" s="99">
        <f t="shared" si="26"/>
        <v>4.7714104901110533E-4</v>
      </c>
      <c r="I61" s="99">
        <f t="shared" si="26"/>
        <v>3.3942081251903811</v>
      </c>
      <c r="J61" s="99">
        <f t="shared" si="26"/>
        <v>0.32570710947081888</v>
      </c>
      <c r="K61" s="99">
        <f t="shared" si="26"/>
        <v>1.6720714903729332</v>
      </c>
      <c r="L61" s="99">
        <f t="shared" si="26"/>
        <v>7.6145966926585403E-3</v>
      </c>
      <c r="M61" s="99">
        <f t="shared" si="26"/>
        <v>2.3581070559990551</v>
      </c>
      <c r="N61" s="99">
        <f t="shared" si="26"/>
        <v>1.3366494569601921</v>
      </c>
      <c r="O61" s="99">
        <f t="shared" si="26"/>
        <v>2.4625723750372521</v>
      </c>
      <c r="P61" s="99">
        <f t="shared" si="26"/>
        <v>0.43314139912283156</v>
      </c>
      <c r="Q61" s="99">
        <f t="shared" si="26"/>
        <v>7.4051676001951052E-4</v>
      </c>
      <c r="R61" s="82">
        <v>99.999999999999972</v>
      </c>
    </row>
    <row r="62" spans="1:18" ht="81.75" customHeight="1" thickTop="1" thickBot="1">
      <c r="A62" s="83" t="s">
        <v>221</v>
      </c>
      <c r="B62" s="99">
        <v>59074.850155</v>
      </c>
      <c r="C62" s="99">
        <v>56518.615080000003</v>
      </c>
      <c r="D62" s="99">
        <v>6156.5756300000003</v>
      </c>
      <c r="E62" s="99">
        <v>1820.5276510000001</v>
      </c>
      <c r="F62" s="99">
        <v>33336.728764</v>
      </c>
      <c r="G62" s="99">
        <v>3158.9278079999999</v>
      </c>
      <c r="H62" s="99">
        <v>0</v>
      </c>
      <c r="I62" s="99">
        <v>2151.8690019999999</v>
      </c>
      <c r="J62" s="99">
        <v>553.78619200000003</v>
      </c>
      <c r="K62" s="99">
        <v>3881.8140699999999</v>
      </c>
      <c r="L62" s="99">
        <v>13.663155</v>
      </c>
      <c r="M62" s="99">
        <v>2153.449059</v>
      </c>
      <c r="N62" s="99">
        <v>1735.2698680000001</v>
      </c>
      <c r="O62" s="99">
        <v>6269.3068860000003</v>
      </c>
      <c r="P62" s="99">
        <v>400</v>
      </c>
      <c r="Q62" s="99">
        <v>1.6655249999999999</v>
      </c>
      <c r="R62" s="94">
        <v>177227.04884499998</v>
      </c>
    </row>
    <row r="63" spans="1:18" ht="81.75" customHeight="1" thickTop="1" thickBot="1">
      <c r="A63" s="83" t="s">
        <v>222</v>
      </c>
      <c r="B63" s="99">
        <f>(B62/$R62)*100</f>
        <v>33.332863431397506</v>
      </c>
      <c r="C63" s="99">
        <f t="shared" ref="C63:Q63" si="27">(C62/$R62)*100</f>
        <v>31.890513016119964</v>
      </c>
      <c r="D63" s="99">
        <f t="shared" si="27"/>
        <v>3.4738352131476531</v>
      </c>
      <c r="E63" s="99">
        <f t="shared" si="27"/>
        <v>1.0272290053152131</v>
      </c>
      <c r="F63" s="99">
        <f t="shared" si="27"/>
        <v>18.810181053771192</v>
      </c>
      <c r="G63" s="99">
        <f t="shared" si="27"/>
        <v>1.7824185577692202</v>
      </c>
      <c r="H63" s="99">
        <f t="shared" si="27"/>
        <v>0</v>
      </c>
      <c r="I63" s="99">
        <f t="shared" si="27"/>
        <v>1.2141876852454905</v>
      </c>
      <c r="J63" s="99">
        <f t="shared" si="27"/>
        <v>0.31247272671359144</v>
      </c>
      <c r="K63" s="99">
        <f t="shared" si="27"/>
        <v>2.1903056532837568</v>
      </c>
      <c r="L63" s="99">
        <f t="shared" si="27"/>
        <v>7.7094072767354953E-3</v>
      </c>
      <c r="M63" s="99">
        <f t="shared" si="27"/>
        <v>1.2150792291775805</v>
      </c>
      <c r="N63" s="99">
        <f t="shared" si="27"/>
        <v>0.97912247555261167</v>
      </c>
      <c r="O63" s="99">
        <f t="shared" si="27"/>
        <v>3.5374435938856252</v>
      </c>
      <c r="P63" s="99">
        <f t="shared" si="27"/>
        <v>0.2256991822675069</v>
      </c>
      <c r="Q63" s="99">
        <f t="shared" si="27"/>
        <v>9.3976907636522363E-4</v>
      </c>
      <c r="R63" s="82">
        <v>100</v>
      </c>
    </row>
    <row r="64" spans="1:18" ht="81.75" customHeight="1" thickTop="1" thickBot="1">
      <c r="A64" s="83" t="s">
        <v>531</v>
      </c>
      <c r="B64" s="99">
        <v>62688.699225999997</v>
      </c>
      <c r="C64" s="99">
        <v>99013.386561000007</v>
      </c>
      <c r="D64" s="99">
        <v>10965.153706999999</v>
      </c>
      <c r="E64" s="99">
        <v>3074.5627300000001</v>
      </c>
      <c r="F64" s="99">
        <v>8769.3603199999998</v>
      </c>
      <c r="G64" s="99">
        <v>4153.1139709999998</v>
      </c>
      <c r="H64" s="99">
        <v>10.225417</v>
      </c>
      <c r="I64" s="99">
        <v>4876.6584700000003</v>
      </c>
      <c r="J64" s="99">
        <v>887.33760400000006</v>
      </c>
      <c r="K64" s="99">
        <v>4438.2174480000003</v>
      </c>
      <c r="L64" s="99">
        <v>21.313282000000001</v>
      </c>
      <c r="M64" s="99">
        <v>5628.3950290000002</v>
      </c>
      <c r="N64" s="99">
        <v>3012.4181400000002</v>
      </c>
      <c r="O64" s="99">
        <v>10522.265436</v>
      </c>
      <c r="P64" s="99">
        <v>2.3001459999999998</v>
      </c>
      <c r="Q64" s="99">
        <v>0</v>
      </c>
      <c r="R64" s="94">
        <v>218063.40748700002</v>
      </c>
    </row>
    <row r="65" spans="1:18" ht="81.75" customHeight="1" thickTop="1" thickBot="1">
      <c r="A65" s="83" t="s">
        <v>532</v>
      </c>
      <c r="B65" s="99">
        <f t="shared" ref="B65:Q65" si="28">(B64/$R64)*100</f>
        <v>28.747922426983642</v>
      </c>
      <c r="C65" s="99">
        <f t="shared" si="28"/>
        <v>45.405777934981025</v>
      </c>
      <c r="D65" s="99">
        <f t="shared" si="28"/>
        <v>5.0284244538615193</v>
      </c>
      <c r="E65" s="99">
        <f t="shared" si="28"/>
        <v>1.4099397810168091</v>
      </c>
      <c r="F65" s="99">
        <f t="shared" si="28"/>
        <v>4.0214726629559756</v>
      </c>
      <c r="G65" s="99">
        <f t="shared" si="28"/>
        <v>1.9045441960488443</v>
      </c>
      <c r="H65" s="99">
        <f t="shared" si="28"/>
        <v>4.6891943576592944E-3</v>
      </c>
      <c r="I65" s="99">
        <f t="shared" si="28"/>
        <v>2.2363488336715664</v>
      </c>
      <c r="J65" s="99">
        <f t="shared" si="28"/>
        <v>0.40691724220300429</v>
      </c>
      <c r="K65" s="99">
        <f t="shared" si="28"/>
        <v>2.035287579492028</v>
      </c>
      <c r="L65" s="99">
        <f t="shared" si="28"/>
        <v>9.7738920278362638E-3</v>
      </c>
      <c r="M65" s="99">
        <f t="shared" si="28"/>
        <v>2.5810818485607405</v>
      </c>
      <c r="N65" s="99">
        <f t="shared" si="28"/>
        <v>1.3814413774028489</v>
      </c>
      <c r="O65" s="99">
        <f t="shared" si="28"/>
        <v>4.8253237703933847</v>
      </c>
      <c r="P65" s="99">
        <f t="shared" si="28"/>
        <v>1.0548060431171261E-3</v>
      </c>
      <c r="Q65" s="99">
        <f t="shared" si="28"/>
        <v>0</v>
      </c>
      <c r="R65" s="82">
        <v>100</v>
      </c>
    </row>
    <row r="66" spans="1:18" ht="81.75" customHeight="1" thickTop="1" thickBot="1">
      <c r="A66" s="83" t="s">
        <v>533</v>
      </c>
      <c r="B66" s="99">
        <v>61382.688140999999</v>
      </c>
      <c r="C66" s="99">
        <v>86242.771880999993</v>
      </c>
      <c r="D66" s="99">
        <v>7398.2827269999998</v>
      </c>
      <c r="E66" s="99">
        <v>2007.754711</v>
      </c>
      <c r="F66" s="99">
        <v>20647.753608999999</v>
      </c>
      <c r="G66" s="99">
        <v>3854.1815759999999</v>
      </c>
      <c r="H66" s="99">
        <v>2207.1899950000002</v>
      </c>
      <c r="I66" s="99">
        <v>18074.230313</v>
      </c>
      <c r="J66" s="99">
        <v>660.73222099999998</v>
      </c>
      <c r="K66" s="99">
        <v>3186.209519</v>
      </c>
      <c r="L66" s="99">
        <v>19.871127000000001</v>
      </c>
      <c r="M66" s="99">
        <v>2508.7457800000002</v>
      </c>
      <c r="N66" s="99">
        <v>2539.988394</v>
      </c>
      <c r="O66" s="99">
        <v>7330.6656929999999</v>
      </c>
      <c r="P66" s="99">
        <v>2.346174</v>
      </c>
      <c r="Q66" s="99">
        <v>0</v>
      </c>
      <c r="R66" s="94">
        <v>218063.41186099997</v>
      </c>
    </row>
    <row r="67" spans="1:18" ht="81.75" customHeight="1" thickTop="1" thickBot="1">
      <c r="A67" s="83" t="s">
        <v>534</v>
      </c>
      <c r="B67" s="99">
        <f t="shared" ref="B67:Q67" si="29">(B66/$R66)*100</f>
        <v>28.149008408676611</v>
      </c>
      <c r="C67" s="99">
        <f t="shared" si="29"/>
        <v>39.549400399170892</v>
      </c>
      <c r="D67" s="99">
        <f t="shared" si="29"/>
        <v>3.392720797983241</v>
      </c>
      <c r="E67" s="99">
        <f t="shared" si="29"/>
        <v>0.9207205802502082</v>
      </c>
      <c r="F67" s="99">
        <f t="shared" si="29"/>
        <v>9.4686923554885425</v>
      </c>
      <c r="G67" s="99">
        <f t="shared" si="29"/>
        <v>1.7674590813321627</v>
      </c>
      <c r="H67" s="99">
        <f t="shared" si="29"/>
        <v>1.0121780523212798</v>
      </c>
      <c r="I67" s="99">
        <f t="shared" si="29"/>
        <v>8.2885203706346875</v>
      </c>
      <c r="J67" s="99">
        <f t="shared" si="29"/>
        <v>0.30300003809037446</v>
      </c>
      <c r="K67" s="99">
        <f t="shared" si="29"/>
        <v>1.4611389832930723</v>
      </c>
      <c r="L67" s="99">
        <f t="shared" si="29"/>
        <v>9.1125452135301082E-3</v>
      </c>
      <c r="M67" s="99">
        <f t="shared" si="29"/>
        <v>1.1504661688037554</v>
      </c>
      <c r="N67" s="99">
        <f t="shared" si="29"/>
        <v>1.1647934755873046</v>
      </c>
      <c r="O67" s="99">
        <f t="shared" si="29"/>
        <v>3.361712829510703</v>
      </c>
      <c r="P67" s="99">
        <f t="shared" si="29"/>
        <v>1.0759136436402821E-3</v>
      </c>
      <c r="Q67" s="99">
        <f t="shared" si="29"/>
        <v>0</v>
      </c>
      <c r="R67" s="82">
        <v>100</v>
      </c>
    </row>
    <row r="68" spans="1:18" ht="81.75" customHeight="1" thickTop="1" thickBot="1">
      <c r="A68" s="83" t="s">
        <v>223</v>
      </c>
      <c r="B68" s="99">
        <v>48956.146382999999</v>
      </c>
      <c r="C68" s="99">
        <v>78462.505707000004</v>
      </c>
      <c r="D68" s="99">
        <v>9911.3905329999998</v>
      </c>
      <c r="E68" s="99">
        <v>2242.2490440000001</v>
      </c>
      <c r="F68" s="99">
        <v>8156.3355510000001</v>
      </c>
      <c r="G68" s="99">
        <v>7774.5134909999997</v>
      </c>
      <c r="H68" s="99">
        <v>769.37633400000004</v>
      </c>
      <c r="I68" s="99">
        <v>4618.5630680000004</v>
      </c>
      <c r="J68" s="99">
        <v>448.52677899999998</v>
      </c>
      <c r="K68" s="99">
        <v>3437.4067730000002</v>
      </c>
      <c r="L68" s="99">
        <v>113.865043</v>
      </c>
      <c r="M68" s="99">
        <v>4244.1372549999996</v>
      </c>
      <c r="N68" s="99">
        <v>2148.427443</v>
      </c>
      <c r="O68" s="99">
        <v>5633.5128809999997</v>
      </c>
      <c r="P68" s="99">
        <v>28.082405999999999</v>
      </c>
      <c r="Q68" s="99">
        <v>11.992070999999999</v>
      </c>
      <c r="R68" s="94">
        <v>176957.03076199998</v>
      </c>
    </row>
    <row r="69" spans="1:18" ht="81.75" customHeight="1" thickTop="1" thickBot="1">
      <c r="A69" s="83" t="s">
        <v>224</v>
      </c>
      <c r="B69" s="99">
        <f t="shared" ref="B69:Q69" si="30">(B68/$R68)*100</f>
        <v>27.665555966998578</v>
      </c>
      <c r="C69" s="99">
        <f t="shared" si="30"/>
        <v>44.339863394593735</v>
      </c>
      <c r="D69" s="99">
        <f t="shared" si="30"/>
        <v>5.601015393579031</v>
      </c>
      <c r="E69" s="99">
        <f t="shared" si="30"/>
        <v>1.2671149794639887</v>
      </c>
      <c r="F69" s="99">
        <f t="shared" si="30"/>
        <v>4.6092181338473859</v>
      </c>
      <c r="G69" s="99">
        <f t="shared" si="30"/>
        <v>4.3934470744236238</v>
      </c>
      <c r="H69" s="99">
        <f t="shared" si="30"/>
        <v>0.43478144422234344</v>
      </c>
      <c r="I69" s="99">
        <f t="shared" si="30"/>
        <v>2.6099912776066976</v>
      </c>
      <c r="J69" s="99">
        <f t="shared" si="30"/>
        <v>0.2534664924408967</v>
      </c>
      <c r="K69" s="99">
        <f t="shared" si="30"/>
        <v>1.9425092962953094</v>
      </c>
      <c r="L69" s="99">
        <f t="shared" si="30"/>
        <v>6.4346153701654196E-2</v>
      </c>
      <c r="M69" s="99">
        <f t="shared" si="30"/>
        <v>2.3983999034817618</v>
      </c>
      <c r="N69" s="99">
        <f t="shared" si="30"/>
        <v>1.2140955540159055</v>
      </c>
      <c r="O69" s="99">
        <f t="shared" si="30"/>
        <v>3.1835484901285702</v>
      </c>
      <c r="P69" s="99">
        <f t="shared" si="30"/>
        <v>1.5869618674699451E-2</v>
      </c>
      <c r="Q69" s="99">
        <f t="shared" si="30"/>
        <v>6.7768265258297917E-3</v>
      </c>
      <c r="R69" s="82">
        <v>100</v>
      </c>
    </row>
    <row r="70" spans="1:18" ht="81.75" customHeight="1" thickTop="1" thickBot="1">
      <c r="A70" s="83" t="s">
        <v>225</v>
      </c>
      <c r="B70" s="99">
        <v>46261.633763999998</v>
      </c>
      <c r="C70" s="99">
        <v>73984.580956999998</v>
      </c>
      <c r="D70" s="99">
        <v>6645.9246979999998</v>
      </c>
      <c r="E70" s="99">
        <v>2146.3247889999998</v>
      </c>
      <c r="F70" s="99">
        <v>12239.476574</v>
      </c>
      <c r="G70" s="99">
        <v>4398.2429300000003</v>
      </c>
      <c r="H70" s="99">
        <v>5.7055689999999997</v>
      </c>
      <c r="I70" s="99">
        <v>3213.6648449999998</v>
      </c>
      <c r="J70" s="99">
        <v>596.41444999999999</v>
      </c>
      <c r="K70" s="99">
        <v>3464.561205</v>
      </c>
      <c r="L70" s="99">
        <v>23.295548</v>
      </c>
      <c r="M70" s="99">
        <v>7720.6565529999998</v>
      </c>
      <c r="N70" s="99">
        <v>1927.0454589999999</v>
      </c>
      <c r="O70" s="99">
        <v>14312.987804</v>
      </c>
      <c r="P70" s="99">
        <v>0</v>
      </c>
      <c r="Q70" s="99">
        <v>16.515618</v>
      </c>
      <c r="R70" s="94">
        <v>176957.03076300005</v>
      </c>
    </row>
    <row r="71" spans="1:18" ht="81.75" customHeight="1" thickTop="1" thickBot="1">
      <c r="A71" s="83" t="s">
        <v>226</v>
      </c>
      <c r="B71" s="99">
        <f t="shared" ref="B71:Q71" si="31">(B70/$R70)*100</f>
        <v>26.142862798121069</v>
      </c>
      <c r="C71" s="99">
        <f t="shared" si="31"/>
        <v>41.809348087495962</v>
      </c>
      <c r="D71" s="99">
        <f t="shared" si="31"/>
        <v>3.7556714584010735</v>
      </c>
      <c r="E71" s="99">
        <f t="shared" si="31"/>
        <v>1.2129073254368681</v>
      </c>
      <c r="F71" s="99">
        <f t="shared" si="31"/>
        <v>6.9166376273528396</v>
      </c>
      <c r="G71" s="99">
        <f t="shared" si="31"/>
        <v>2.4854863980457504</v>
      </c>
      <c r="H71" s="99">
        <f t="shared" si="31"/>
        <v>3.2242680471065957E-3</v>
      </c>
      <c r="I71" s="99">
        <f t="shared" si="31"/>
        <v>1.8160707326198793</v>
      </c>
      <c r="J71" s="99">
        <f t="shared" si="31"/>
        <v>0.33703913737046287</v>
      </c>
      <c r="K71" s="99">
        <f t="shared" si="31"/>
        <v>1.9578545085558734</v>
      </c>
      <c r="L71" s="99">
        <f t="shared" si="31"/>
        <v>1.3164522426464034E-2</v>
      </c>
      <c r="M71" s="99">
        <f t="shared" si="31"/>
        <v>4.3630120372783239</v>
      </c>
      <c r="N71" s="99">
        <f t="shared" si="31"/>
        <v>1.088990615795824</v>
      </c>
      <c r="O71" s="99">
        <f t="shared" si="31"/>
        <v>8.0883973596785186</v>
      </c>
      <c r="P71" s="99">
        <f t="shared" si="31"/>
        <v>0</v>
      </c>
      <c r="Q71" s="99">
        <f t="shared" si="31"/>
        <v>9.3331233739559621E-3</v>
      </c>
      <c r="R71" s="82">
        <v>100</v>
      </c>
    </row>
    <row r="72" spans="1:18" ht="81.75" customHeight="1" thickTop="1" thickBot="1">
      <c r="A72" s="83" t="s">
        <v>227</v>
      </c>
      <c r="B72" s="99">
        <v>56141.902352999998</v>
      </c>
      <c r="C72" s="99">
        <v>76088.150118999998</v>
      </c>
      <c r="D72" s="99">
        <v>13044.187372</v>
      </c>
      <c r="E72" s="99">
        <v>4040.9868750000001</v>
      </c>
      <c r="F72" s="99">
        <v>26094.388070000001</v>
      </c>
      <c r="G72" s="99">
        <v>10304.241266000001</v>
      </c>
      <c r="H72" s="99">
        <v>5392.1306789999999</v>
      </c>
      <c r="I72" s="99">
        <v>5906.6822689999999</v>
      </c>
      <c r="J72" s="99">
        <v>795.63249499999995</v>
      </c>
      <c r="K72" s="99">
        <v>6682.2130390000002</v>
      </c>
      <c r="L72" s="99">
        <v>179.483574</v>
      </c>
      <c r="M72" s="99">
        <v>7491.1928070000004</v>
      </c>
      <c r="N72" s="99">
        <v>2586.4495109999998</v>
      </c>
      <c r="O72" s="99">
        <v>45361.19556</v>
      </c>
      <c r="P72" s="99">
        <v>1888.562175</v>
      </c>
      <c r="Q72" s="99">
        <v>3.2080109999999999</v>
      </c>
      <c r="R72" s="94">
        <v>262000.60617500005</v>
      </c>
    </row>
    <row r="73" spans="1:18" ht="81.75" customHeight="1" thickTop="1" thickBot="1">
      <c r="A73" s="83" t="s">
        <v>228</v>
      </c>
      <c r="B73" s="99">
        <f>(B72/$R72)*100</f>
        <v>21.428157427811716</v>
      </c>
      <c r="C73" s="99">
        <f t="shared" ref="C73:Q73" si="32">(C72/$R72)*100</f>
        <v>29.041211480319195</v>
      </c>
      <c r="D73" s="99">
        <f t="shared" si="32"/>
        <v>4.978685951316959</v>
      </c>
      <c r="E73" s="99">
        <f t="shared" si="32"/>
        <v>1.5423578342032052</v>
      </c>
      <c r="F73" s="99">
        <f t="shared" si="32"/>
        <v>9.959667059919159</v>
      </c>
      <c r="G73" s="99">
        <f t="shared" si="32"/>
        <v>3.9329074143887324</v>
      </c>
      <c r="H73" s="99">
        <f t="shared" si="32"/>
        <v>2.0580603830352944</v>
      </c>
      <c r="I73" s="99">
        <f t="shared" si="32"/>
        <v>2.2544536652921732</v>
      </c>
      <c r="J73" s="99">
        <f t="shared" si="32"/>
        <v>0.30367582221110095</v>
      </c>
      <c r="K73" s="99">
        <f t="shared" si="32"/>
        <v>2.5504570911323388</v>
      </c>
      <c r="L73" s="99">
        <f t="shared" si="32"/>
        <v>6.8505022419725309E-2</v>
      </c>
      <c r="M73" s="99">
        <f t="shared" si="32"/>
        <v>2.8592272805645158</v>
      </c>
      <c r="N73" s="99">
        <f t="shared" si="32"/>
        <v>0.98719218583502544</v>
      </c>
      <c r="O73" s="99">
        <f t="shared" si="32"/>
        <v>17.313393362800678</v>
      </c>
      <c r="P73" s="99">
        <f t="shared" si="32"/>
        <v>0.72082358990366546</v>
      </c>
      <c r="Q73" s="99">
        <f t="shared" si="32"/>
        <v>1.2244288464955874E-3</v>
      </c>
      <c r="R73" s="82">
        <v>100</v>
      </c>
    </row>
    <row r="74" spans="1:18" ht="81.75" customHeight="1" thickTop="1" thickBot="1">
      <c r="A74" s="83" t="s">
        <v>229</v>
      </c>
      <c r="B74" s="99">
        <v>52381.606545000002</v>
      </c>
      <c r="C74" s="99">
        <v>71450.628513999996</v>
      </c>
      <c r="D74" s="99">
        <v>8953.9822860000004</v>
      </c>
      <c r="E74" s="99">
        <v>2089.2836160000002</v>
      </c>
      <c r="F74" s="99">
        <v>14228.286359</v>
      </c>
      <c r="G74" s="99">
        <v>7315.4411330000003</v>
      </c>
      <c r="H74" s="99">
        <v>10.239341</v>
      </c>
      <c r="I74" s="99">
        <v>3832.432476</v>
      </c>
      <c r="J74" s="99">
        <v>547.96333400000003</v>
      </c>
      <c r="K74" s="99">
        <v>4209.4840819999999</v>
      </c>
      <c r="L74" s="99">
        <v>9.1509149999999995</v>
      </c>
      <c r="M74" s="99">
        <v>2544.4839139999999</v>
      </c>
      <c r="N74" s="99">
        <v>2145.6050380000001</v>
      </c>
      <c r="O74" s="99">
        <v>92279.489690000002</v>
      </c>
      <c r="P74" s="99">
        <v>0</v>
      </c>
      <c r="Q74" s="99">
        <v>2.528934</v>
      </c>
      <c r="R74" s="94">
        <v>262000.60617700004</v>
      </c>
    </row>
    <row r="75" spans="1:18" ht="81.75" customHeight="1" thickTop="1" thickBot="1">
      <c r="A75" s="83" t="s">
        <v>230</v>
      </c>
      <c r="B75" s="99">
        <f>(B74/$R74)*100</f>
        <v>19.992933340624603</v>
      </c>
      <c r="C75" s="99">
        <f t="shared" ref="C75:Q75" si="33">(C74/$R74)*100</f>
        <v>27.271169161238511</v>
      </c>
      <c r="D75" s="99">
        <f>(D74/$R74)*100</f>
        <v>3.4175425838331641</v>
      </c>
      <c r="E75" s="99">
        <f t="shared" si="33"/>
        <v>0.7974346496696807</v>
      </c>
      <c r="F75" s="99">
        <f t="shared" si="33"/>
        <v>5.4306310838791649</v>
      </c>
      <c r="G75" s="99">
        <f t="shared" si="33"/>
        <v>2.7921466441409297</v>
      </c>
      <c r="H75" s="99">
        <f t="shared" si="33"/>
        <v>3.9081363777771555E-3</v>
      </c>
      <c r="I75" s="99">
        <f t="shared" si="33"/>
        <v>1.4627571027110218</v>
      </c>
      <c r="J75" s="99">
        <f t="shared" si="33"/>
        <v>0.20914582679622193</v>
      </c>
      <c r="K75" s="99">
        <f t="shared" si="33"/>
        <v>1.6066695964650533</v>
      </c>
      <c r="L75" s="99">
        <f t="shared" si="33"/>
        <v>3.4927075679427651E-3</v>
      </c>
      <c r="M75" s="99">
        <f t="shared" si="33"/>
        <v>0.97117481945099782</v>
      </c>
      <c r="N75" s="99">
        <f t="shared" si="33"/>
        <v>0.81893132588803685</v>
      </c>
      <c r="O75" s="99">
        <f t="shared" si="33"/>
        <v>35.221097781605373</v>
      </c>
      <c r="P75" s="99">
        <f t="shared" si="33"/>
        <v>0</v>
      </c>
      <c r="Q75" s="99">
        <f t="shared" si="33"/>
        <v>9.6523975150329439E-4</v>
      </c>
      <c r="R75" s="82">
        <v>100</v>
      </c>
    </row>
    <row r="76" spans="1:18" ht="81.75" customHeight="1" thickTop="1" thickBot="1">
      <c r="A76" s="83" t="s">
        <v>231</v>
      </c>
      <c r="B76" s="99">
        <v>43905.710144999997</v>
      </c>
      <c r="C76" s="99">
        <v>66091.424064000006</v>
      </c>
      <c r="D76" s="99">
        <v>7361.1113610000002</v>
      </c>
      <c r="E76" s="99">
        <v>3638.1610310000001</v>
      </c>
      <c r="F76" s="99">
        <v>15339.193587</v>
      </c>
      <c r="G76" s="99">
        <v>6724.1229130000002</v>
      </c>
      <c r="H76" s="99">
        <v>2650.4599450000001</v>
      </c>
      <c r="I76" s="99">
        <v>9222.2806060000003</v>
      </c>
      <c r="J76" s="99">
        <v>633.80535099999997</v>
      </c>
      <c r="K76" s="99">
        <v>5787.8812070000004</v>
      </c>
      <c r="L76" s="99">
        <v>33.001086000000001</v>
      </c>
      <c r="M76" s="99">
        <v>2358.020759</v>
      </c>
      <c r="N76" s="99">
        <v>1982.6455840000001</v>
      </c>
      <c r="O76" s="99">
        <v>42901.798643000002</v>
      </c>
      <c r="P76" s="99">
        <v>0</v>
      </c>
      <c r="Q76" s="99">
        <v>4.3335189999999999</v>
      </c>
      <c r="R76" s="94">
        <v>208633.94980100004</v>
      </c>
    </row>
    <row r="77" spans="1:18" ht="81.75" customHeight="1" thickTop="1" thickBot="1">
      <c r="A77" s="83" t="s">
        <v>232</v>
      </c>
      <c r="B77" s="99">
        <f t="shared" ref="B77:Q77" si="34">(B76/$R76)*100</f>
        <v>21.044374698786221</v>
      </c>
      <c r="C77" s="99">
        <f t="shared" si="34"/>
        <v>31.67817324411466</v>
      </c>
      <c r="D77" s="99">
        <f t="shared" si="34"/>
        <v>3.5282423440773667</v>
      </c>
      <c r="E77" s="99">
        <f t="shared" si="34"/>
        <v>1.7438010613661694</v>
      </c>
      <c r="F77" s="99">
        <f t="shared" si="34"/>
        <v>7.3522039925097911</v>
      </c>
      <c r="G77" s="99">
        <f t="shared" si="34"/>
        <v>3.2229284444902793</v>
      </c>
      <c r="H77" s="99">
        <f t="shared" si="34"/>
        <v>1.2703876562410243</v>
      </c>
      <c r="I77" s="99">
        <f t="shared" si="34"/>
        <v>4.4203163554140774</v>
      </c>
      <c r="J77" s="99">
        <f t="shared" si="34"/>
        <v>0.30378821452814292</v>
      </c>
      <c r="K77" s="99">
        <f t="shared" si="34"/>
        <v>2.7741799513073579</v>
      </c>
      <c r="L77" s="99">
        <f t="shared" si="34"/>
        <v>1.5817696991058842E-2</v>
      </c>
      <c r="M77" s="99">
        <f t="shared" si="34"/>
        <v>1.1302191044406413</v>
      </c>
      <c r="N77" s="99">
        <f t="shared" si="34"/>
        <v>0.95029863830459715</v>
      </c>
      <c r="O77" s="99">
        <f t="shared" si="34"/>
        <v>20.563191505467231</v>
      </c>
      <c r="P77" s="99">
        <f t="shared" si="34"/>
        <v>0</v>
      </c>
      <c r="Q77" s="99">
        <f t="shared" si="34"/>
        <v>2.0770919613674632E-3</v>
      </c>
      <c r="R77" s="82">
        <v>100</v>
      </c>
    </row>
    <row r="78" spans="1:18" ht="81.75" customHeight="1" thickTop="1" thickBot="1">
      <c r="A78" s="83" t="s">
        <v>233</v>
      </c>
      <c r="B78" s="99">
        <v>42302.630044999998</v>
      </c>
      <c r="C78" s="99">
        <v>60498.038221000003</v>
      </c>
      <c r="D78" s="99">
        <v>4735.1384939999998</v>
      </c>
      <c r="E78" s="99">
        <v>1929.059843</v>
      </c>
      <c r="F78" s="99">
        <v>12327.61607</v>
      </c>
      <c r="G78" s="99">
        <v>5272.2151590000003</v>
      </c>
      <c r="H78" s="99">
        <v>88.802974000000006</v>
      </c>
      <c r="I78" s="99">
        <v>3044.900607</v>
      </c>
      <c r="J78" s="99">
        <v>403.94493599999998</v>
      </c>
      <c r="K78" s="99">
        <v>2607.4508599999999</v>
      </c>
      <c r="L78" s="99">
        <v>12.827584</v>
      </c>
      <c r="M78" s="99">
        <v>876.197183</v>
      </c>
      <c r="N78" s="99">
        <v>1932.026901</v>
      </c>
      <c r="O78" s="99">
        <v>72601.010181000005</v>
      </c>
      <c r="P78" s="99">
        <v>0</v>
      </c>
      <c r="Q78" s="99">
        <v>2.0907460000000002</v>
      </c>
      <c r="R78" s="94">
        <v>208633.94980400003</v>
      </c>
    </row>
    <row r="79" spans="1:18" ht="81.75" customHeight="1" thickTop="1" thickBot="1">
      <c r="A79" s="83" t="s">
        <v>234</v>
      </c>
      <c r="B79" s="99">
        <f>(B78/$R78)*100</f>
        <v>20.276004976534718</v>
      </c>
      <c r="C79" s="99">
        <f t="shared" ref="C79:Q79" si="35">(C78/$R78)*100</f>
        <v>28.997216549767924</v>
      </c>
      <c r="D79" s="99">
        <f t="shared" si="35"/>
        <v>2.2695915494330614</v>
      </c>
      <c r="E79" s="99">
        <f t="shared" si="35"/>
        <v>0.92461454370788843</v>
      </c>
      <c r="F79" s="99">
        <f t="shared" si="35"/>
        <v>5.908729658610743</v>
      </c>
      <c r="G79" s="99">
        <f t="shared" si="35"/>
        <v>2.5270168943994746</v>
      </c>
      <c r="H79" s="99">
        <f t="shared" si="35"/>
        <v>4.2564009397044661E-2</v>
      </c>
      <c r="I79" s="99">
        <f t="shared" si="35"/>
        <v>1.4594463699989932</v>
      </c>
      <c r="J79" s="99">
        <f t="shared" si="35"/>
        <v>0.1936141919277681</v>
      </c>
      <c r="K79" s="99">
        <f t="shared" si="35"/>
        <v>1.2497730414678698</v>
      </c>
      <c r="L79" s="99">
        <f t="shared" si="35"/>
        <v>6.1483684760082428E-3</v>
      </c>
      <c r="M79" s="99">
        <f t="shared" si="35"/>
        <v>0.41996865027151065</v>
      </c>
      <c r="N79" s="99">
        <f t="shared" si="35"/>
        <v>0.92603667946421553</v>
      </c>
      <c r="O79" s="99">
        <f t="shared" si="35"/>
        <v>34.798272404469458</v>
      </c>
      <c r="P79" s="99">
        <f t="shared" si="35"/>
        <v>0</v>
      </c>
      <c r="Q79" s="99">
        <f t="shared" si="35"/>
        <v>1.00211207330549E-3</v>
      </c>
      <c r="R79" s="82">
        <v>100</v>
      </c>
    </row>
    <row r="80" spans="1:18" ht="81.75" customHeight="1" thickTop="1" thickBot="1">
      <c r="A80" s="83" t="s">
        <v>535</v>
      </c>
      <c r="B80" s="99">
        <v>54013.415561000002</v>
      </c>
      <c r="C80" s="99">
        <v>96140.666874999995</v>
      </c>
      <c r="D80" s="99">
        <v>8708.7834019999991</v>
      </c>
      <c r="E80" s="99">
        <v>3217.0327069999998</v>
      </c>
      <c r="F80" s="99">
        <v>15978.857667</v>
      </c>
      <c r="G80" s="99">
        <v>11265.497114</v>
      </c>
      <c r="H80" s="99">
        <v>180.74456499999999</v>
      </c>
      <c r="I80" s="99">
        <v>5942.349005</v>
      </c>
      <c r="J80" s="99">
        <v>509.12361900000002</v>
      </c>
      <c r="K80" s="99">
        <v>5176.7708039999998</v>
      </c>
      <c r="L80" s="99">
        <v>19.761747</v>
      </c>
      <c r="M80" s="99">
        <v>702.84088999999994</v>
      </c>
      <c r="N80" s="99">
        <v>2611.7052020000001</v>
      </c>
      <c r="O80" s="99">
        <v>25902.112171000001</v>
      </c>
      <c r="P80" s="99">
        <v>2169.6428999999998</v>
      </c>
      <c r="Q80" s="99">
        <v>8.1838230000000003</v>
      </c>
      <c r="R80" s="94">
        <f t="shared" ref="R80:R87" si="36">SUM(B80:Q80)</f>
        <v>232547.48805200003</v>
      </c>
    </row>
    <row r="81" spans="1:18" ht="81.75" customHeight="1" thickTop="1" thickBot="1">
      <c r="A81" s="83" t="s">
        <v>536</v>
      </c>
      <c r="B81" s="99">
        <f t="shared" ref="B81:Q81" si="37">(B80/$R80)*100</f>
        <v>23.226832512128464</v>
      </c>
      <c r="C81" s="99">
        <f t="shared" si="37"/>
        <v>41.342380294171114</v>
      </c>
      <c r="D81" s="99">
        <f t="shared" si="37"/>
        <v>3.7449483866506545</v>
      </c>
      <c r="E81" s="99">
        <f t="shared" si="37"/>
        <v>1.3833874250581619</v>
      </c>
      <c r="F81" s="99">
        <f t="shared" si="37"/>
        <v>6.8712235083042321</v>
      </c>
      <c r="G81" s="99">
        <f t="shared" si="37"/>
        <v>4.8443856385500572</v>
      </c>
      <c r="H81" s="99">
        <f t="shared" si="37"/>
        <v>7.7723722803483317E-2</v>
      </c>
      <c r="I81" s="99">
        <f t="shared" si="37"/>
        <v>2.5553271096487737</v>
      </c>
      <c r="J81" s="99">
        <f t="shared" si="37"/>
        <v>0.218933183611149</v>
      </c>
      <c r="K81" s="99">
        <f t="shared" si="37"/>
        <v>2.2261134047779607</v>
      </c>
      <c r="L81" s="99">
        <f t="shared" si="37"/>
        <v>8.4979404273681364E-3</v>
      </c>
      <c r="M81" s="99">
        <f t="shared" si="37"/>
        <v>0.30223542549848464</v>
      </c>
      <c r="N81" s="99">
        <f t="shared" si="37"/>
        <v>1.1230846756839599</v>
      </c>
      <c r="O81" s="99">
        <f t="shared" si="37"/>
        <v>11.138418388423107</v>
      </c>
      <c r="P81" s="99">
        <f t="shared" si="37"/>
        <v>0.93298917918857283</v>
      </c>
      <c r="Q81" s="99">
        <f t="shared" si="37"/>
        <v>3.5192050744362424E-3</v>
      </c>
      <c r="R81" s="82">
        <f t="shared" si="36"/>
        <v>99.999999999999929</v>
      </c>
    </row>
    <row r="82" spans="1:18" ht="81.75" customHeight="1" thickTop="1" thickBot="1">
      <c r="A82" s="83" t="s">
        <v>537</v>
      </c>
      <c r="B82" s="99">
        <v>53454.788084</v>
      </c>
      <c r="C82" s="99">
        <v>86956.703234000001</v>
      </c>
      <c r="D82" s="99">
        <v>12550.029592000001</v>
      </c>
      <c r="E82" s="99">
        <v>3448.4882360000001</v>
      </c>
      <c r="F82" s="99">
        <v>15664.20507</v>
      </c>
      <c r="G82" s="99">
        <v>9280.9117470000001</v>
      </c>
      <c r="H82" s="99">
        <v>148.78689</v>
      </c>
      <c r="I82" s="99">
        <v>3528.4503119999999</v>
      </c>
      <c r="J82" s="99">
        <v>540.58920599999999</v>
      </c>
      <c r="K82" s="99">
        <v>4099.3743169999998</v>
      </c>
      <c r="L82" s="99">
        <v>19.981777000000001</v>
      </c>
      <c r="M82" s="99">
        <v>714.37542099999996</v>
      </c>
      <c r="N82" s="99">
        <v>2511.1855569999998</v>
      </c>
      <c r="O82" s="99">
        <v>39622.481861</v>
      </c>
      <c r="P82" s="99">
        <v>0</v>
      </c>
      <c r="Q82" s="99">
        <v>7.136749</v>
      </c>
      <c r="R82" s="94">
        <f t="shared" si="36"/>
        <v>232547.48805300004</v>
      </c>
    </row>
    <row r="83" spans="1:18" ht="81.75" customHeight="1" thickTop="1" thickBot="1">
      <c r="A83" s="83" t="s">
        <v>538</v>
      </c>
      <c r="B83" s="99">
        <f>(B82/$R82)*100</f>
        <v>22.986611694475535</v>
      </c>
      <c r="C83" s="99">
        <f t="shared" ref="C83:Q83" si="38">(C82/$R82)*100</f>
        <v>37.393095045680155</v>
      </c>
      <c r="D83" s="99">
        <f t="shared" si="38"/>
        <v>5.3967599035684772</v>
      </c>
      <c r="E83" s="99">
        <f t="shared" si="38"/>
        <v>1.4829178611527523</v>
      </c>
      <c r="F83" s="99">
        <f t="shared" si="38"/>
        <v>6.7359166943269502</v>
      </c>
      <c r="G83" s="99">
        <f t="shared" si="38"/>
        <v>3.990974843333841</v>
      </c>
      <c r="H83" s="99">
        <f t="shared" si="38"/>
        <v>6.3981293131014125E-2</v>
      </c>
      <c r="I83" s="99">
        <f t="shared" si="38"/>
        <v>1.517303128725187</v>
      </c>
      <c r="J83" s="99">
        <f t="shared" si="38"/>
        <v>0.23246400575042719</v>
      </c>
      <c r="K83" s="99">
        <f t="shared" si="38"/>
        <v>1.7628116955044077</v>
      </c>
      <c r="L83" s="99">
        <f t="shared" si="38"/>
        <v>8.5925576609307171E-3</v>
      </c>
      <c r="M83" s="99">
        <f t="shared" si="38"/>
        <v>0.3071955010054489</v>
      </c>
      <c r="N83" s="99">
        <f t="shared" si="38"/>
        <v>1.0798592485452581</v>
      </c>
      <c r="O83" s="99">
        <f t="shared" si="38"/>
        <v>17.038447584507821</v>
      </c>
      <c r="P83" s="99">
        <f t="shared" si="38"/>
        <v>0</v>
      </c>
      <c r="Q83" s="99">
        <f t="shared" si="38"/>
        <v>3.0689426317834318E-3</v>
      </c>
      <c r="R83" s="82">
        <f t="shared" si="36"/>
        <v>100</v>
      </c>
    </row>
    <row r="84" spans="1:18" ht="81.75" customHeight="1" thickTop="1" thickBot="1">
      <c r="A84" s="83" t="s">
        <v>235</v>
      </c>
      <c r="B84" s="99">
        <v>65722.221411999999</v>
      </c>
      <c r="C84" s="99">
        <v>124844.564403</v>
      </c>
      <c r="D84" s="99">
        <v>11785.662715</v>
      </c>
      <c r="E84" s="99">
        <v>5022.5555000000004</v>
      </c>
      <c r="F84" s="99">
        <v>9226.8333689999999</v>
      </c>
      <c r="G84" s="99">
        <v>12281.081722999999</v>
      </c>
      <c r="H84" s="99">
        <v>401.58484199999998</v>
      </c>
      <c r="I84" s="99">
        <v>5937.4726739999996</v>
      </c>
      <c r="J84" s="99">
        <v>671.94336799999996</v>
      </c>
      <c r="K84" s="99">
        <v>7140.4622849999996</v>
      </c>
      <c r="L84" s="99">
        <v>130.453328</v>
      </c>
      <c r="M84" s="99">
        <v>951.37981100000002</v>
      </c>
      <c r="N84" s="99">
        <v>4094.1669010000001</v>
      </c>
      <c r="O84" s="99">
        <v>24672.807656000001</v>
      </c>
      <c r="P84" s="99">
        <v>20.186031</v>
      </c>
      <c r="Q84" s="99">
        <v>12.952937</v>
      </c>
      <c r="R84" s="94">
        <f t="shared" si="36"/>
        <v>272916.32895500003</v>
      </c>
    </row>
    <row r="85" spans="1:18" ht="81.75" customHeight="1" thickTop="1" thickBot="1">
      <c r="A85" s="83" t="s">
        <v>236</v>
      </c>
      <c r="B85" s="99">
        <f>(B84/$R84)*100</f>
        <v>24.081454438307588</v>
      </c>
      <c r="C85" s="99">
        <f t="shared" ref="C85:Q85" si="39">(C84/$R84)*100</f>
        <v>45.744629821539576</v>
      </c>
      <c r="D85" s="99">
        <f t="shared" si="39"/>
        <v>4.3184161094821434</v>
      </c>
      <c r="E85" s="99">
        <f t="shared" si="39"/>
        <v>1.840327956642033</v>
      </c>
      <c r="F85" s="99">
        <f t="shared" si="39"/>
        <v>3.3808286240437342</v>
      </c>
      <c r="G85" s="99">
        <f t="shared" si="39"/>
        <v>4.4999439095580724</v>
      </c>
      <c r="H85" s="99">
        <f t="shared" si="39"/>
        <v>0.14714577304248275</v>
      </c>
      <c r="I85" s="99">
        <f t="shared" si="39"/>
        <v>2.1755651985847293</v>
      </c>
      <c r="J85" s="99">
        <f t="shared" si="39"/>
        <v>0.24620856163970814</v>
      </c>
      <c r="K85" s="99">
        <f t="shared" si="39"/>
        <v>2.6163558304997423</v>
      </c>
      <c r="L85" s="99">
        <f t="shared" si="39"/>
        <v>4.7799751850505758E-2</v>
      </c>
      <c r="M85" s="99">
        <f t="shared" si="39"/>
        <v>0.34859761401703043</v>
      </c>
      <c r="N85" s="99">
        <f t="shared" si="39"/>
        <v>1.5001546139348332</v>
      </c>
      <c r="O85" s="99">
        <f t="shared" si="39"/>
        <v>9.0404292592064692</v>
      </c>
      <c r="P85" s="99">
        <f t="shared" si="39"/>
        <v>7.3964174577946882E-3</v>
      </c>
      <c r="Q85" s="99">
        <f t="shared" si="39"/>
        <v>4.7461201935395199E-3</v>
      </c>
      <c r="R85" s="82">
        <f t="shared" si="36"/>
        <v>99.999999999999986</v>
      </c>
    </row>
    <row r="86" spans="1:18" ht="81.75" customHeight="1" thickTop="1" thickBot="1">
      <c r="A86" s="83" t="s">
        <v>237</v>
      </c>
      <c r="B86" s="99">
        <v>66058.858330999996</v>
      </c>
      <c r="C86" s="99">
        <v>125728.946725</v>
      </c>
      <c r="D86" s="99">
        <v>9809.6473929999993</v>
      </c>
      <c r="E86" s="99">
        <v>3328.2218579999999</v>
      </c>
      <c r="F86" s="99">
        <v>16768.576797999998</v>
      </c>
      <c r="G86" s="99">
        <v>12282.925332000001</v>
      </c>
      <c r="H86" s="99">
        <v>86.205681999999996</v>
      </c>
      <c r="I86" s="99">
        <v>3876.0017360000002</v>
      </c>
      <c r="J86" s="99">
        <v>482.54109399999999</v>
      </c>
      <c r="K86" s="99">
        <v>3354.9497959999999</v>
      </c>
      <c r="L86" s="99">
        <v>326.71135299999997</v>
      </c>
      <c r="M86" s="99">
        <v>402.90768500000001</v>
      </c>
      <c r="N86" s="99">
        <v>4002.5116950000001</v>
      </c>
      <c r="O86" s="99">
        <v>26404.113604999999</v>
      </c>
      <c r="P86" s="99">
        <v>0</v>
      </c>
      <c r="Q86" s="99">
        <v>3.209876</v>
      </c>
      <c r="R86" s="94">
        <f t="shared" si="36"/>
        <v>272916.32895900001</v>
      </c>
    </row>
    <row r="87" spans="1:18" ht="81.75" customHeight="1" thickTop="1" thickBot="1">
      <c r="A87" s="83" t="s">
        <v>238</v>
      </c>
      <c r="B87" s="99">
        <f>(B86/$R86)*100</f>
        <v>24.204802469303317</v>
      </c>
      <c r="C87" s="99">
        <f t="shared" ref="C87:Q87" si="40">(C86/$R86)*100</f>
        <v>46.06867870624486</v>
      </c>
      <c r="D87" s="99">
        <f t="shared" si="40"/>
        <v>3.5943790649747802</v>
      </c>
      <c r="E87" s="99">
        <f t="shared" si="40"/>
        <v>1.2195026478243431</v>
      </c>
      <c r="F87" s="99">
        <f t="shared" si="40"/>
        <v>6.1442189487017203</v>
      </c>
      <c r="G87" s="99">
        <f t="shared" si="40"/>
        <v>4.5006194311829741</v>
      </c>
      <c r="H87" s="99">
        <f t="shared" si="40"/>
        <v>3.1586853864266441E-2</v>
      </c>
      <c r="I87" s="99">
        <f t="shared" si="40"/>
        <v>1.4202161339280979</v>
      </c>
      <c r="J87" s="99">
        <f t="shared" si="40"/>
        <v>0.17680916925732637</v>
      </c>
      <c r="K87" s="99">
        <f t="shared" si="40"/>
        <v>1.229296102874083</v>
      </c>
      <c r="L87" s="99">
        <f t="shared" si="40"/>
        <v>0.11971117823773804</v>
      </c>
      <c r="M87" s="99">
        <f t="shared" si="40"/>
        <v>0.14763047947216398</v>
      </c>
      <c r="N87" s="99">
        <f t="shared" si="40"/>
        <v>1.466570985425095</v>
      </c>
      <c r="O87" s="99">
        <f t="shared" si="40"/>
        <v>9.6748016894828837</v>
      </c>
      <c r="P87" s="99">
        <f t="shared" si="40"/>
        <v>0</v>
      </c>
      <c r="Q87" s="99">
        <f t="shared" si="40"/>
        <v>1.176139226349559E-3</v>
      </c>
      <c r="R87" s="82">
        <f t="shared" si="36"/>
        <v>99.999999999999972</v>
      </c>
    </row>
    <row r="88" spans="1:18" ht="81.75" customHeight="1" thickTop="1" thickBot="1">
      <c r="A88" s="83" t="s">
        <v>239</v>
      </c>
      <c r="B88" s="99">
        <v>66988.595948999995</v>
      </c>
      <c r="C88" s="99">
        <v>152603.157611</v>
      </c>
      <c r="D88" s="99">
        <v>9776.6926660000008</v>
      </c>
      <c r="E88" s="99">
        <v>3587.8354549999999</v>
      </c>
      <c r="F88" s="99">
        <v>9698.9243509999997</v>
      </c>
      <c r="G88" s="99">
        <v>6681.5368159999998</v>
      </c>
      <c r="H88" s="99">
        <v>263440.60894800001</v>
      </c>
      <c r="I88" s="99">
        <v>2951.8321639999999</v>
      </c>
      <c r="J88" s="99">
        <v>621.04767300000003</v>
      </c>
      <c r="K88" s="99">
        <v>3789.7791520000001</v>
      </c>
      <c r="L88" s="99">
        <v>128.47562099999999</v>
      </c>
      <c r="M88" s="99">
        <v>506.89562799999999</v>
      </c>
      <c r="N88" s="99">
        <v>5407.3186910000004</v>
      </c>
      <c r="O88" s="99">
        <v>26104.123932999999</v>
      </c>
      <c r="P88" s="99">
        <v>0</v>
      </c>
      <c r="Q88" s="99">
        <v>1.592463</v>
      </c>
      <c r="R88" s="94">
        <f t="shared" ref="R88:R95" si="41">SUM(B88:Q88)</f>
        <v>552288.41712100001</v>
      </c>
    </row>
    <row r="89" spans="1:18" ht="81.75" customHeight="1" thickTop="1" thickBot="1">
      <c r="A89" s="83" t="s">
        <v>240</v>
      </c>
      <c r="B89" s="99">
        <f>(B88/$R88)*100</f>
        <v>12.129277723802701</v>
      </c>
      <c r="C89" s="99">
        <f t="shared" ref="C89:Q89" si="42">(C88/$R88)*100</f>
        <v>27.631062481175739</v>
      </c>
      <c r="D89" s="99">
        <f t="shared" si="42"/>
        <v>1.7702150475949672</v>
      </c>
      <c r="E89" s="99">
        <f t="shared" si="42"/>
        <v>0.64963076243801554</v>
      </c>
      <c r="F89" s="99">
        <f t="shared" si="42"/>
        <v>1.7561339420368611</v>
      </c>
      <c r="G89" s="99">
        <f t="shared" si="42"/>
        <v>1.2097912266257347</v>
      </c>
      <c r="H89" s="99">
        <f t="shared" si="42"/>
        <v>47.699825087999848</v>
      </c>
      <c r="I89" s="99">
        <f t="shared" si="42"/>
        <v>0.53447294429737924</v>
      </c>
      <c r="J89" s="99">
        <f t="shared" si="42"/>
        <v>0.11244988193622313</v>
      </c>
      <c r="K89" s="99">
        <f t="shared" si="42"/>
        <v>0.68619566054916969</v>
      </c>
      <c r="L89" s="99">
        <f t="shared" si="42"/>
        <v>2.3262414531473413E-2</v>
      </c>
      <c r="M89" s="99">
        <f t="shared" si="42"/>
        <v>9.17809630414438E-2</v>
      </c>
      <c r="N89" s="99">
        <f t="shared" si="42"/>
        <v>0.97907515772059361</v>
      </c>
      <c r="O89" s="99">
        <f t="shared" si="42"/>
        <v>4.7265383672315702</v>
      </c>
      <c r="P89" s="99">
        <f>(P88/$R88)*100</f>
        <v>0</v>
      </c>
      <c r="Q89" s="99">
        <f t="shared" si="42"/>
        <v>2.8833901827984739E-4</v>
      </c>
      <c r="R89" s="82">
        <f t="shared" si="41"/>
        <v>100</v>
      </c>
    </row>
    <row r="90" spans="1:18" ht="81.75" customHeight="1" thickTop="1" thickBot="1">
      <c r="A90" s="83" t="s">
        <v>241</v>
      </c>
      <c r="B90" s="99">
        <v>63288.267328000002</v>
      </c>
      <c r="C90" s="99">
        <v>152275.20699199999</v>
      </c>
      <c r="D90" s="99">
        <v>7018.0631620000004</v>
      </c>
      <c r="E90" s="99">
        <v>2144.9542919999999</v>
      </c>
      <c r="F90" s="99">
        <v>271364.86592200003</v>
      </c>
      <c r="G90" s="99">
        <v>6662.3393230000001</v>
      </c>
      <c r="H90" s="99">
        <v>1373.7821389999999</v>
      </c>
      <c r="I90" s="99">
        <v>2843.3464509999999</v>
      </c>
      <c r="J90" s="99">
        <v>624.16206</v>
      </c>
      <c r="K90" s="99">
        <v>3283.939355</v>
      </c>
      <c r="L90" s="99">
        <v>49.218325</v>
      </c>
      <c r="M90" s="99">
        <v>398.65317199999998</v>
      </c>
      <c r="N90" s="99">
        <v>5418.3644770000001</v>
      </c>
      <c r="O90" s="99">
        <v>35541.266901000003</v>
      </c>
      <c r="P90" s="99">
        <v>0</v>
      </c>
      <c r="Q90" s="99">
        <v>1.9872240000000001</v>
      </c>
      <c r="R90" s="94">
        <f t="shared" si="41"/>
        <v>552288.41712300014</v>
      </c>
    </row>
    <row r="91" spans="1:18" ht="81.75" customHeight="1" thickTop="1" thickBot="1">
      <c r="A91" s="83" t="s">
        <v>242</v>
      </c>
      <c r="B91" s="99">
        <f>(B90/$R90)*100</f>
        <v>11.459278407047432</v>
      </c>
      <c r="C91" s="99">
        <f t="shared" ref="C91:Q91" si="43">(C90/$R90)*100</f>
        <v>27.571682162960659</v>
      </c>
      <c r="D91" s="99">
        <f t="shared" si="43"/>
        <v>1.2707243071579768</v>
      </c>
      <c r="E91" s="99">
        <f t="shared" si="43"/>
        <v>0.38837575178084843</v>
      </c>
      <c r="F91" s="99">
        <f t="shared" si="43"/>
        <v>49.134629209789196</v>
      </c>
      <c r="G91" s="99">
        <f t="shared" si="43"/>
        <v>1.2063152361053828</v>
      </c>
      <c r="H91" s="99">
        <f t="shared" si="43"/>
        <v>0.24874360866670953</v>
      </c>
      <c r="I91" s="99">
        <f t="shared" si="43"/>
        <v>0.51482999875529856</v>
      </c>
      <c r="J91" s="99">
        <f t="shared" si="43"/>
        <v>0.11301378784139753</v>
      </c>
      <c r="K91" s="99">
        <f t="shared" si="43"/>
        <v>0.59460587135012</v>
      </c>
      <c r="L91" s="99">
        <f t="shared" si="43"/>
        <v>8.9117069042276495E-3</v>
      </c>
      <c r="M91" s="99">
        <f t="shared" si="43"/>
        <v>7.2182062784636666E-2</v>
      </c>
      <c r="N91" s="99">
        <f t="shared" si="43"/>
        <v>0.98107516091420699</v>
      </c>
      <c r="O91" s="99">
        <f t="shared" si="43"/>
        <v>6.4352729115962264</v>
      </c>
      <c r="P91" s="99">
        <f>(P90/$R90)*100</f>
        <v>0</v>
      </c>
      <c r="Q91" s="99">
        <f t="shared" si="43"/>
        <v>3.5981634566082624E-4</v>
      </c>
      <c r="R91" s="82">
        <f t="shared" si="41"/>
        <v>99.999999999999986</v>
      </c>
    </row>
    <row r="92" spans="1:18" ht="81.75" customHeight="1" thickTop="1" thickBot="1">
      <c r="A92" s="83" t="s">
        <v>243</v>
      </c>
      <c r="B92" s="99">
        <v>119663.84186</v>
      </c>
      <c r="C92" s="99">
        <v>325398.61294899997</v>
      </c>
      <c r="D92" s="99">
        <v>14599.175412000001</v>
      </c>
      <c r="E92" s="99">
        <v>4224.440431</v>
      </c>
      <c r="F92" s="99">
        <v>12782.051960999999</v>
      </c>
      <c r="G92" s="99">
        <v>6439.9623940000001</v>
      </c>
      <c r="H92" s="99">
        <v>3513.1038549999998</v>
      </c>
      <c r="I92" s="99">
        <v>2623.0037029999999</v>
      </c>
      <c r="J92" s="99">
        <v>934.74308199999996</v>
      </c>
      <c r="K92" s="99">
        <v>3485.213964</v>
      </c>
      <c r="L92" s="99">
        <v>477.97156899999999</v>
      </c>
      <c r="M92" s="99">
        <v>455.05963000000003</v>
      </c>
      <c r="N92" s="99">
        <v>11858.119242999999</v>
      </c>
      <c r="O92" s="99">
        <v>22787.503984999999</v>
      </c>
      <c r="P92" s="99">
        <v>0</v>
      </c>
      <c r="Q92" s="99">
        <v>10.037115999999999</v>
      </c>
      <c r="R92" s="94">
        <f t="shared" si="41"/>
        <v>529252.84115399991</v>
      </c>
    </row>
    <row r="93" spans="1:18" ht="81.75" customHeight="1" thickTop="1" thickBot="1">
      <c r="A93" s="83" t="s">
        <v>244</v>
      </c>
      <c r="B93" s="99">
        <f>(B92/$R92)*100</f>
        <v>22.609957388056927</v>
      </c>
      <c r="C93" s="99">
        <f t="shared" ref="C93:Q93" si="44">(C92/$R92)*100</f>
        <v>61.482638853575232</v>
      </c>
      <c r="D93" s="99">
        <f t="shared" si="44"/>
        <v>2.7584500784478529</v>
      </c>
      <c r="E93" s="99">
        <f t="shared" si="44"/>
        <v>0.7981894668319387</v>
      </c>
      <c r="F93" s="99">
        <f t="shared" si="44"/>
        <v>2.4151125826985838</v>
      </c>
      <c r="G93" s="99">
        <f t="shared" si="44"/>
        <v>1.2168026117645583</v>
      </c>
      <c r="H93" s="99">
        <f t="shared" si="44"/>
        <v>0.66378554479554897</v>
      </c>
      <c r="I93" s="99">
        <f t="shared" si="44"/>
        <v>0.49560503015547697</v>
      </c>
      <c r="J93" s="99">
        <f t="shared" si="44"/>
        <v>0.17661560020383757</v>
      </c>
      <c r="K93" s="99">
        <f t="shared" si="44"/>
        <v>0.65851587237599463</v>
      </c>
      <c r="L93" s="99">
        <f t="shared" si="44"/>
        <v>9.0310628840048437E-2</v>
      </c>
      <c r="M93" s="99">
        <f t="shared" si="44"/>
        <v>8.5981518589068578E-2</v>
      </c>
      <c r="N93" s="99">
        <f t="shared" si="44"/>
        <v>2.2405395532963368</v>
      </c>
      <c r="O93" s="99">
        <f t="shared" si="44"/>
        <v>4.3055988013807145</v>
      </c>
      <c r="P93" s="99">
        <f>(P92/$R92)*100</f>
        <v>0</v>
      </c>
      <c r="Q93" s="99">
        <f t="shared" si="44"/>
        <v>1.8964689878876698E-3</v>
      </c>
      <c r="R93" s="82">
        <f t="shared" si="41"/>
        <v>100</v>
      </c>
    </row>
    <row r="94" spans="1:18" ht="81.75" customHeight="1" thickTop="1" thickBot="1">
      <c r="A94" s="83" t="s">
        <v>245</v>
      </c>
      <c r="B94" s="99">
        <v>114924.507428</v>
      </c>
      <c r="C94" s="99">
        <v>323463.68738999998</v>
      </c>
      <c r="D94" s="99">
        <v>12185.079782999999</v>
      </c>
      <c r="E94" s="99">
        <v>3637.9158689999999</v>
      </c>
      <c r="F94" s="99">
        <v>16447.322539000001</v>
      </c>
      <c r="G94" s="99">
        <v>7419.9179139999997</v>
      </c>
      <c r="H94" s="99">
        <v>2979.557221</v>
      </c>
      <c r="I94" s="99">
        <v>4858.5764470000004</v>
      </c>
      <c r="J94" s="99">
        <v>912.40445899999997</v>
      </c>
      <c r="K94" s="99">
        <v>2791.7184029999999</v>
      </c>
      <c r="L94" s="99">
        <v>21.257707</v>
      </c>
      <c r="M94" s="99">
        <v>245.05940699999999</v>
      </c>
      <c r="N94" s="99">
        <v>9654.7919060000004</v>
      </c>
      <c r="O94" s="99">
        <v>29201.258905999999</v>
      </c>
      <c r="P94" s="99">
        <v>504</v>
      </c>
      <c r="Q94" s="99">
        <v>5.785774</v>
      </c>
      <c r="R94" s="94">
        <f t="shared" si="41"/>
        <v>529252.84115300002</v>
      </c>
    </row>
    <row r="95" spans="1:18" ht="81.75" customHeight="1" thickTop="1" thickBot="1">
      <c r="A95" s="83" t="s">
        <v>246</v>
      </c>
      <c r="B95" s="99">
        <f>(B94/$R94)*100</f>
        <v>21.714480961052949</v>
      </c>
      <c r="C95" s="99">
        <f t="shared" ref="C95:Q95" si="45">(C94/$R94)*100</f>
        <v>61.117043166989994</v>
      </c>
      <c r="D95" s="99">
        <f t="shared" si="45"/>
        <v>2.3023173114109849</v>
      </c>
      <c r="E95" s="99">
        <f t="shared" si="45"/>
        <v>0.68736822670137099</v>
      </c>
      <c r="F95" s="99">
        <f t="shared" si="45"/>
        <v>3.1076493615355569</v>
      </c>
      <c r="G95" s="99">
        <f t="shared" si="45"/>
        <v>1.401960903570284</v>
      </c>
      <c r="H95" s="99">
        <f t="shared" si="45"/>
        <v>0.56297425149554359</v>
      </c>
      <c r="I95" s="99">
        <f t="shared" si="45"/>
        <v>0.91800668210214664</v>
      </c>
      <c r="J95" s="99">
        <f t="shared" si="45"/>
        <v>0.1723948154935338</v>
      </c>
      <c r="K95" s="99">
        <f t="shared" si="45"/>
        <v>0.52748293177191485</v>
      </c>
      <c r="L95" s="99">
        <f t="shared" si="45"/>
        <v>4.0165503795292195E-3</v>
      </c>
      <c r="M95" s="99">
        <f t="shared" si="45"/>
        <v>4.6302898717771178E-2</v>
      </c>
      <c r="N95" s="99">
        <f t="shared" si="45"/>
        <v>1.8242305293943482</v>
      </c>
      <c r="O95" s="99">
        <f t="shared" si="45"/>
        <v>5.5174496262285153</v>
      </c>
      <c r="P95" s="99">
        <f>(P94/$R94)*100</f>
        <v>9.522858656781405E-2</v>
      </c>
      <c r="Q95" s="99">
        <f t="shared" si="45"/>
        <v>1.0931965877396981E-3</v>
      </c>
      <c r="R95" s="82">
        <f t="shared" si="41"/>
        <v>99.999999999999986</v>
      </c>
    </row>
    <row r="96" spans="1:18" ht="81.75" customHeight="1" thickTop="1" thickBot="1">
      <c r="A96" s="83" t="s">
        <v>539</v>
      </c>
      <c r="B96" s="99">
        <v>169339.47493299999</v>
      </c>
      <c r="C96" s="99">
        <v>480599.25465700001</v>
      </c>
      <c r="D96" s="99">
        <v>12296.396325</v>
      </c>
      <c r="E96" s="99">
        <v>3994.4762529999998</v>
      </c>
      <c r="F96" s="99">
        <v>8762.6117149999991</v>
      </c>
      <c r="G96" s="99">
        <v>9524.4788289999997</v>
      </c>
      <c r="H96" s="99">
        <v>1015.002731</v>
      </c>
      <c r="I96" s="99">
        <v>2977.2388989999999</v>
      </c>
      <c r="J96" s="99">
        <v>1407.807247</v>
      </c>
      <c r="K96" s="99">
        <v>2837.6306279999999</v>
      </c>
      <c r="L96" s="99">
        <v>139.472094</v>
      </c>
      <c r="M96" s="99">
        <v>378.93714899999998</v>
      </c>
      <c r="N96" s="99">
        <v>15038.313050000001</v>
      </c>
      <c r="O96" s="99">
        <v>25016.036102999999</v>
      </c>
      <c r="P96" s="99">
        <v>14.856649000000001</v>
      </c>
      <c r="Q96" s="99">
        <v>0</v>
      </c>
      <c r="R96" s="94">
        <f t="shared" ref="R96:R102" si="46">SUM(B96:Q96)</f>
        <v>733341.98726199998</v>
      </c>
    </row>
    <row r="97" spans="1:18" ht="81.75" customHeight="1" thickTop="1" thickBot="1">
      <c r="A97" s="83" t="s">
        <v>540</v>
      </c>
      <c r="B97" s="99">
        <v>23.091474083632459</v>
      </c>
      <c r="C97" s="99">
        <v>65.535488626713118</v>
      </c>
      <c r="D97" s="99">
        <v>1.6767615298981762</v>
      </c>
      <c r="E97" s="99">
        <v>0.54469487938550276</v>
      </c>
      <c r="F97" s="99">
        <v>1.1948874968575056</v>
      </c>
      <c r="G97" s="99">
        <v>1.2987772409650946</v>
      </c>
      <c r="H97" s="99">
        <v>0.13840782999342591</v>
      </c>
      <c r="I97" s="99">
        <v>0.40598233166981151</v>
      </c>
      <c r="J97" s="99">
        <v>0.19197145008104313</v>
      </c>
      <c r="K97" s="99">
        <v>0.38694506482501512</v>
      </c>
      <c r="L97" s="99">
        <v>1.9018697473021002E-2</v>
      </c>
      <c r="M97" s="99">
        <v>5.1672637811834121E-2</v>
      </c>
      <c r="N97" s="99">
        <v>2.0506548528807045</v>
      </c>
      <c r="O97" s="99">
        <v>3.4112373950385253</v>
      </c>
      <c r="P97" s="99">
        <v>2.0258827747567914E-3</v>
      </c>
      <c r="Q97" s="99">
        <v>0</v>
      </c>
      <c r="R97" s="82">
        <f t="shared" si="46"/>
        <v>100</v>
      </c>
    </row>
    <row r="98" spans="1:18" ht="81.75" customHeight="1" thickTop="1" thickBot="1">
      <c r="A98" s="83" t="s">
        <v>541</v>
      </c>
      <c r="B98" s="99">
        <v>163487.78327000001</v>
      </c>
      <c r="C98" s="99">
        <v>475317.28470600001</v>
      </c>
      <c r="D98" s="99">
        <v>11872.278329000001</v>
      </c>
      <c r="E98" s="99">
        <v>4146.1857389999996</v>
      </c>
      <c r="F98" s="99">
        <v>15968.712605000001</v>
      </c>
      <c r="G98" s="99">
        <v>7833.6111099999998</v>
      </c>
      <c r="H98" s="99">
        <v>1199.7257950000001</v>
      </c>
      <c r="I98" s="99">
        <v>4090.831576</v>
      </c>
      <c r="J98" s="99">
        <v>1365.014615</v>
      </c>
      <c r="K98" s="99">
        <v>3725.3536909999998</v>
      </c>
      <c r="L98" s="99">
        <v>42.255085999999999</v>
      </c>
      <c r="M98" s="99">
        <v>215.33752699999999</v>
      </c>
      <c r="N98" s="99">
        <v>13434.754269999999</v>
      </c>
      <c r="O98" s="99">
        <v>29808.457951</v>
      </c>
      <c r="P98" s="99">
        <v>17.003764</v>
      </c>
      <c r="Q98" s="99">
        <v>817.39723000000004</v>
      </c>
      <c r="R98" s="94">
        <f t="shared" si="46"/>
        <v>733341.987264</v>
      </c>
    </row>
    <row r="99" spans="1:18" ht="81.75" customHeight="1" thickTop="1" thickBot="1">
      <c r="A99" s="83" t="s">
        <v>542</v>
      </c>
      <c r="B99" s="99">
        <v>22.293525545966741</v>
      </c>
      <c r="C99" s="99">
        <v>64.815228496508794</v>
      </c>
      <c r="D99" s="99">
        <v>1.6189279401952517</v>
      </c>
      <c r="E99" s="99">
        <v>0.56538229243751048</v>
      </c>
      <c r="F99" s="99">
        <v>2.1775260222828794</v>
      </c>
      <c r="G99" s="99">
        <v>1.0682070911044035</v>
      </c>
      <c r="H99" s="99">
        <v>0.16359704146710802</v>
      </c>
      <c r="I99" s="99">
        <v>0.55783408655794287</v>
      </c>
      <c r="J99" s="99">
        <v>0.18613616003260436</v>
      </c>
      <c r="K99" s="99">
        <v>0.50799678126964898</v>
      </c>
      <c r="L99" s="99">
        <v>5.7619891856523888E-3</v>
      </c>
      <c r="M99" s="99">
        <v>2.9363861709786353E-2</v>
      </c>
      <c r="N99" s="99">
        <v>1.8319903269309938</v>
      </c>
      <c r="O99" s="99">
        <v>4.0647417533273025</v>
      </c>
      <c r="P99" s="99">
        <v>2.3186677287412314E-3</v>
      </c>
      <c r="Q99" s="99">
        <v>0.11146194329464194</v>
      </c>
      <c r="R99" s="82">
        <f t="shared" si="46"/>
        <v>100</v>
      </c>
    </row>
    <row r="100" spans="1:18" ht="81.75" customHeight="1" thickTop="1" thickBot="1">
      <c r="A100" s="83" t="s">
        <v>247</v>
      </c>
      <c r="B100" s="99">
        <v>183778.62190699999</v>
      </c>
      <c r="C100" s="99">
        <v>428183.78507300001</v>
      </c>
      <c r="D100" s="99">
        <v>12874.861940999999</v>
      </c>
      <c r="E100" s="99">
        <v>3974.3411649999998</v>
      </c>
      <c r="F100" s="99">
        <v>9577.8376459999999</v>
      </c>
      <c r="G100" s="99">
        <v>10263.158959</v>
      </c>
      <c r="H100" s="99">
        <v>499.29568499999999</v>
      </c>
      <c r="I100" s="99">
        <v>4717.4382489999998</v>
      </c>
      <c r="J100" s="99">
        <v>1123.738008</v>
      </c>
      <c r="K100" s="99">
        <v>4344.8552300000001</v>
      </c>
      <c r="L100" s="99">
        <v>52.611995999999998</v>
      </c>
      <c r="M100" s="99">
        <v>380.75717700000001</v>
      </c>
      <c r="N100" s="99">
        <v>11433.210121</v>
      </c>
      <c r="O100" s="99">
        <v>26028.373409</v>
      </c>
      <c r="P100" s="99">
        <v>0</v>
      </c>
      <c r="Q100" s="99">
        <v>22.257774999999999</v>
      </c>
      <c r="R100" s="94">
        <f t="shared" si="46"/>
        <v>697255.14434099989</v>
      </c>
    </row>
    <row r="101" spans="1:18" ht="81.75" customHeight="1" thickTop="1" thickBot="1">
      <c r="A101" s="83" t="s">
        <v>248</v>
      </c>
      <c r="B101" s="99">
        <f>(B100/$R100)*100</f>
        <v>26.357442235968808</v>
      </c>
      <c r="C101" s="99">
        <f t="shared" ref="C101:P101" si="47">(C100/$R100)*100</f>
        <v>61.409914082124331</v>
      </c>
      <c r="D101" s="99">
        <f t="shared" si="47"/>
        <v>1.8465065543788104</v>
      </c>
      <c r="E101" s="99">
        <f t="shared" si="47"/>
        <v>0.56999811292267877</v>
      </c>
      <c r="F101" s="99">
        <f t="shared" si="47"/>
        <v>1.373648903666727</v>
      </c>
      <c r="G101" s="99">
        <f t="shared" si="47"/>
        <v>1.4719373592718443</v>
      </c>
      <c r="H101" s="99">
        <f t="shared" si="47"/>
        <v>7.1608748827791252E-2</v>
      </c>
      <c r="I101" s="99">
        <f t="shared" si="47"/>
        <v>0.67657274202811579</v>
      </c>
      <c r="J101" s="99">
        <f t="shared" si="47"/>
        <v>0.16116596874478192</v>
      </c>
      <c r="K101" s="99">
        <f t="shared" si="47"/>
        <v>0.62313706327781548</v>
      </c>
      <c r="L101" s="99">
        <f t="shared" si="47"/>
        <v>7.5455873545006869E-3</v>
      </c>
      <c r="M101" s="99">
        <f t="shared" si="47"/>
        <v>5.4608012589117128E-2</v>
      </c>
      <c r="N101" s="99">
        <f t="shared" si="47"/>
        <v>1.6397455384579378</v>
      </c>
      <c r="O101" s="99">
        <f t="shared" si="47"/>
        <v>3.7329768909199403</v>
      </c>
      <c r="P101" s="99">
        <f t="shared" si="47"/>
        <v>0</v>
      </c>
      <c r="Q101" s="99">
        <f>(Q100/$R100)*100</f>
        <v>3.1921994668159242E-3</v>
      </c>
      <c r="R101" s="82">
        <f t="shared" si="46"/>
        <v>100</v>
      </c>
    </row>
    <row r="102" spans="1:18" ht="81.75" customHeight="1" thickTop="1" thickBot="1">
      <c r="A102" s="83" t="s">
        <v>249</v>
      </c>
      <c r="B102" s="99">
        <v>177361.31403800001</v>
      </c>
      <c r="C102" s="99">
        <v>425586.35038800002</v>
      </c>
      <c r="D102" s="99">
        <v>9572.2945469999995</v>
      </c>
      <c r="E102" s="99">
        <v>4136.1647549999998</v>
      </c>
      <c r="F102" s="99">
        <v>15860.792272000001</v>
      </c>
      <c r="G102" s="99">
        <v>10199.436999</v>
      </c>
      <c r="H102" s="99">
        <v>807.54889100000003</v>
      </c>
      <c r="I102" s="99">
        <v>4883.590655</v>
      </c>
      <c r="J102" s="99">
        <v>1226.716447</v>
      </c>
      <c r="K102" s="99">
        <v>3925.7783880000002</v>
      </c>
      <c r="L102" s="99">
        <v>56.024081000000002</v>
      </c>
      <c r="M102" s="99">
        <v>240.409549</v>
      </c>
      <c r="N102" s="99">
        <v>11281.138806000001</v>
      </c>
      <c r="O102" s="99">
        <v>32094.12599</v>
      </c>
      <c r="P102" s="99">
        <v>0</v>
      </c>
      <c r="Q102" s="99">
        <v>23.458535999999999</v>
      </c>
      <c r="R102" s="94">
        <f t="shared" si="46"/>
        <v>697255.14434200001</v>
      </c>
    </row>
    <row r="103" spans="1:18" ht="81.75" customHeight="1" thickTop="1" thickBot="1">
      <c r="A103" s="83" t="s">
        <v>250</v>
      </c>
      <c r="B103" s="99">
        <f>(B102/$R102)*100</f>
        <v>25.437075004355254</v>
      </c>
      <c r="C103" s="99">
        <f t="shared" ref="C103:P103" si="48">(C102/$R102)*100</f>
        <v>61.037391239275266</v>
      </c>
      <c r="D103" s="99">
        <f t="shared" si="48"/>
        <v>1.3728539150519108</v>
      </c>
      <c r="E103" s="99">
        <f t="shared" si="48"/>
        <v>0.59320677496087892</v>
      </c>
      <c r="F103" s="99">
        <f t="shared" si="48"/>
        <v>2.2747472572565726</v>
      </c>
      <c r="G103" s="99">
        <f t="shared" si="48"/>
        <v>1.4627983861811751</v>
      </c>
      <c r="H103" s="99">
        <f t="shared" si="48"/>
        <v>0.11581827650222419</v>
      </c>
      <c r="I103" s="99">
        <f t="shared" si="48"/>
        <v>0.70040224079072899</v>
      </c>
      <c r="J103" s="99">
        <f t="shared" si="48"/>
        <v>0.17593508731407823</v>
      </c>
      <c r="K103" s="99">
        <f t="shared" si="48"/>
        <v>0.56303326262364961</v>
      </c>
      <c r="L103" s="99">
        <f t="shared" si="48"/>
        <v>8.0349469565936214E-3</v>
      </c>
      <c r="M103" s="99">
        <f t="shared" si="48"/>
        <v>3.4479422769533613E-2</v>
      </c>
      <c r="N103" s="99">
        <f t="shared" si="48"/>
        <v>1.6179355430422842</v>
      </c>
      <c r="O103" s="99">
        <f t="shared" si="48"/>
        <v>4.6029242308835521</v>
      </c>
      <c r="P103" s="99">
        <f t="shared" si="48"/>
        <v>0</v>
      </c>
      <c r="Q103" s="99">
        <f>(Q102/$R102)*100</f>
        <v>3.3644120363052797E-3</v>
      </c>
      <c r="R103" s="82">
        <f t="shared" ref="R103:R111" si="49">SUM(B103:Q103)</f>
        <v>99.999999999999986</v>
      </c>
    </row>
    <row r="104" spans="1:18" ht="81.75" customHeight="1" thickTop="1" thickBot="1">
      <c r="A104" s="83" t="s">
        <v>251</v>
      </c>
      <c r="B104" s="99">
        <v>186627.05757500001</v>
      </c>
      <c r="C104" s="99">
        <v>343431.80160800001</v>
      </c>
      <c r="D104" s="99">
        <v>17780.118589999998</v>
      </c>
      <c r="E104" s="99">
        <v>4577.2340459999996</v>
      </c>
      <c r="F104" s="99">
        <v>12527.648334</v>
      </c>
      <c r="G104" s="99">
        <v>16425.471959999999</v>
      </c>
      <c r="H104" s="99">
        <v>416.47878300000002</v>
      </c>
      <c r="I104" s="99">
        <v>9168.6829030000008</v>
      </c>
      <c r="J104" s="99">
        <v>1061.383799</v>
      </c>
      <c r="K104" s="99">
        <v>7444.5173329999998</v>
      </c>
      <c r="L104" s="99">
        <v>51.235073</v>
      </c>
      <c r="M104" s="99">
        <v>253.22112000000001</v>
      </c>
      <c r="N104" s="99">
        <v>9907.4035690000001</v>
      </c>
      <c r="O104" s="99">
        <v>32198.994226999999</v>
      </c>
      <c r="P104" s="99">
        <v>0</v>
      </c>
      <c r="Q104" s="99">
        <v>133.376104</v>
      </c>
      <c r="R104" s="94">
        <f t="shared" si="49"/>
        <v>642004.62502400007</v>
      </c>
    </row>
    <row r="105" spans="1:18" ht="81.75" customHeight="1" thickTop="1" thickBot="1">
      <c r="A105" s="83" t="s">
        <v>252</v>
      </c>
      <c r="B105" s="99">
        <v>29.069425717614312</v>
      </c>
      <c r="C105" s="99">
        <v>53.493664721677284</v>
      </c>
      <c r="D105" s="99">
        <v>2.7694689254513274</v>
      </c>
      <c r="E105" s="99">
        <v>0.71295966844925596</v>
      </c>
      <c r="F105" s="99">
        <v>1.9513330349499707</v>
      </c>
      <c r="G105" s="99">
        <v>2.5584662975575863</v>
      </c>
      <c r="H105" s="99">
        <v>6.4871617238650078E-2</v>
      </c>
      <c r="I105" s="99">
        <v>1.4281334659633094</v>
      </c>
      <c r="J105" s="99">
        <v>0.16532338827937917</v>
      </c>
      <c r="K105" s="99">
        <v>1.1595737854258763</v>
      </c>
      <c r="L105" s="99">
        <v>7.9804834736330252E-3</v>
      </c>
      <c r="M105" s="99">
        <v>3.9442257910608333E-2</v>
      </c>
      <c r="N105" s="99">
        <v>1.5431981613262726</v>
      </c>
      <c r="O105" s="99">
        <v>5.0153835302660479</v>
      </c>
      <c r="P105" s="99">
        <v>0</v>
      </c>
      <c r="Q105" s="99">
        <v>2.0774944416485162E-2</v>
      </c>
      <c r="R105" s="82">
        <f t="shared" si="49"/>
        <v>100</v>
      </c>
    </row>
    <row r="106" spans="1:18" ht="81.75" customHeight="1" thickTop="1" thickBot="1">
      <c r="A106" s="83" t="s">
        <v>253</v>
      </c>
      <c r="B106" s="99">
        <v>181700.05128000001</v>
      </c>
      <c r="C106" s="99">
        <v>344207.03676599998</v>
      </c>
      <c r="D106" s="99">
        <v>14680.08886</v>
      </c>
      <c r="E106" s="99">
        <v>4618.3135199999997</v>
      </c>
      <c r="F106" s="99">
        <v>15736.265702999999</v>
      </c>
      <c r="G106" s="99">
        <v>19048.878852000002</v>
      </c>
      <c r="H106" s="99">
        <v>986.69763499999999</v>
      </c>
      <c r="I106" s="99">
        <v>7427.5204679999997</v>
      </c>
      <c r="J106" s="99">
        <v>882.16619900000001</v>
      </c>
      <c r="K106" s="99">
        <v>3374.7005640000002</v>
      </c>
      <c r="L106" s="99">
        <v>49.091000000000001</v>
      </c>
      <c r="M106" s="99">
        <v>128.23007000000001</v>
      </c>
      <c r="N106" s="99">
        <v>9591.9594230000002</v>
      </c>
      <c r="O106" s="99">
        <v>39455.902367000002</v>
      </c>
      <c r="P106" s="99">
        <v>0</v>
      </c>
      <c r="Q106" s="99">
        <v>117.722323</v>
      </c>
      <c r="R106" s="94">
        <f t="shared" si="49"/>
        <v>642004.62503</v>
      </c>
    </row>
    <row r="107" spans="1:18" ht="81.75" customHeight="1" thickTop="1" thickBot="1">
      <c r="A107" s="83" t="s">
        <v>254</v>
      </c>
      <c r="B107" s="99">
        <v>28.301984782665613</v>
      </c>
      <c r="C107" s="99">
        <v>53.614416991141709</v>
      </c>
      <c r="D107" s="99">
        <v>2.2866017295925274</v>
      </c>
      <c r="E107" s="99">
        <v>0.71935829430889109</v>
      </c>
      <c r="F107" s="99">
        <v>2.4511140713767703</v>
      </c>
      <c r="G107" s="99">
        <v>2.9670937107516746</v>
      </c>
      <c r="H107" s="99">
        <v>0.15369011320656653</v>
      </c>
      <c r="I107" s="99">
        <v>1.1569263177275275</v>
      </c>
      <c r="J107" s="99">
        <v>0.13740807536375266</v>
      </c>
      <c r="K107" s="99">
        <v>0.52565050662093049</v>
      </c>
      <c r="L107" s="99">
        <v>7.6465181224677388E-3</v>
      </c>
      <c r="M107" s="99">
        <v>1.9973387262437244E-2</v>
      </c>
      <c r="N107" s="99">
        <v>1.4940639130990343</v>
      </c>
      <c r="O107" s="99">
        <v>6.1457349104231582</v>
      </c>
      <c r="P107" s="99">
        <v>0</v>
      </c>
      <c r="Q107" s="99">
        <v>1.8336678336935499E-2</v>
      </c>
      <c r="R107" s="82">
        <f t="shared" si="49"/>
        <v>100</v>
      </c>
    </row>
    <row r="108" spans="1:18" ht="81.75" customHeight="1" thickTop="1" thickBot="1">
      <c r="A108" s="83" t="s">
        <v>255</v>
      </c>
      <c r="B108" s="99">
        <v>136389.72492435001</v>
      </c>
      <c r="C108" s="99">
        <v>221251.51359060005</v>
      </c>
      <c r="D108" s="99">
        <v>13112.758086200001</v>
      </c>
      <c r="E108" s="99">
        <v>5657.7805490600003</v>
      </c>
      <c r="F108" s="99">
        <v>11700.639914270001</v>
      </c>
      <c r="G108" s="99">
        <v>10408.560190940001</v>
      </c>
      <c r="H108" s="99">
        <v>502.44133469999991</v>
      </c>
      <c r="I108" s="99">
        <v>5878.8453549899996</v>
      </c>
      <c r="J108" s="99">
        <v>967.42146380999998</v>
      </c>
      <c r="K108" s="99">
        <v>3666.0651353399999</v>
      </c>
      <c r="L108" s="99">
        <v>92.490682669999998</v>
      </c>
      <c r="M108" s="99">
        <v>251.11199653</v>
      </c>
      <c r="N108" s="99">
        <v>6551.7833617000006</v>
      </c>
      <c r="O108" s="99">
        <v>30370.589281779998</v>
      </c>
      <c r="P108" s="99">
        <v>0</v>
      </c>
      <c r="Q108" s="99">
        <v>17.281043670000003</v>
      </c>
      <c r="R108" s="94">
        <f t="shared" si="49"/>
        <v>446819.00691060995</v>
      </c>
    </row>
    <row r="109" spans="1:18" ht="81.75" customHeight="1" thickTop="1" thickBot="1">
      <c r="A109" s="83" t="s">
        <v>256</v>
      </c>
      <c r="B109" s="99">
        <f>(B108/$R108)*100</f>
        <v>30.524602314340665</v>
      </c>
      <c r="C109" s="99">
        <f t="shared" ref="C109:P109" si="50">(C108/$R108)*100</f>
        <v>49.517032661697705</v>
      </c>
      <c r="D109" s="99">
        <f t="shared" si="50"/>
        <v>2.9346912023425453</v>
      </c>
      <c r="E109" s="99">
        <f t="shared" si="50"/>
        <v>1.2662354245355298</v>
      </c>
      <c r="F109" s="99">
        <f t="shared" si="50"/>
        <v>2.6186531309781134</v>
      </c>
      <c r="G109" s="99">
        <f t="shared" si="50"/>
        <v>2.3294801765275674</v>
      </c>
      <c r="H109" s="99">
        <f t="shared" si="50"/>
        <v>0.11244851425949247</v>
      </c>
      <c r="I109" s="99">
        <f t="shared" si="50"/>
        <v>1.3157106712262385</v>
      </c>
      <c r="J109" s="99">
        <f t="shared" si="50"/>
        <v>0.2165130508880839</v>
      </c>
      <c r="K109" s="99">
        <f t="shared" si="50"/>
        <v>0.820481017736434</v>
      </c>
      <c r="L109" s="99">
        <f t="shared" si="50"/>
        <v>2.0699809372367092E-2</v>
      </c>
      <c r="M109" s="99">
        <f t="shared" si="50"/>
        <v>5.6199936136610486E-2</v>
      </c>
      <c r="N109" s="99">
        <f t="shared" si="50"/>
        <v>1.4663170680675055</v>
      </c>
      <c r="O109" s="99">
        <f t="shared" si="50"/>
        <v>6.7970674505921131</v>
      </c>
      <c r="P109" s="99">
        <f t="shared" si="50"/>
        <v>0</v>
      </c>
      <c r="Q109" s="99">
        <f>(Q108/$R108)*100</f>
        <v>3.8675712990555986E-3</v>
      </c>
      <c r="R109" s="82">
        <f t="shared" si="49"/>
        <v>100.00000000000004</v>
      </c>
    </row>
    <row r="110" spans="1:18" ht="81.75" customHeight="1" thickTop="1" thickBot="1">
      <c r="A110" s="83" t="s">
        <v>257</v>
      </c>
      <c r="B110" s="99">
        <v>133559.12107001001</v>
      </c>
      <c r="C110" s="99">
        <v>222745.70426</v>
      </c>
      <c r="D110" s="99">
        <v>10299.230306709998</v>
      </c>
      <c r="E110" s="99">
        <v>5099.9007706900002</v>
      </c>
      <c r="F110" s="99">
        <v>13613.705490949998</v>
      </c>
      <c r="G110" s="99">
        <v>9221.7664726000003</v>
      </c>
      <c r="H110" s="99">
        <v>688.91766681999991</v>
      </c>
      <c r="I110" s="99">
        <v>5833.0989670099998</v>
      </c>
      <c r="J110" s="99">
        <v>918.01044421999995</v>
      </c>
      <c r="K110" s="99">
        <v>3174.8999237100002</v>
      </c>
      <c r="L110" s="99">
        <v>38.846279539999998</v>
      </c>
      <c r="M110" s="99">
        <v>134.84797621999999</v>
      </c>
      <c r="N110" s="99">
        <v>6286.1701630500002</v>
      </c>
      <c r="O110" s="99">
        <v>35192.349833910004</v>
      </c>
      <c r="P110" s="99">
        <v>0</v>
      </c>
      <c r="Q110" s="99">
        <v>12.437285169999999</v>
      </c>
      <c r="R110" s="94">
        <f t="shared" si="49"/>
        <v>446819.00691060995</v>
      </c>
    </row>
    <row r="111" spans="1:18" ht="81.75" customHeight="1" thickTop="1" thickBot="1">
      <c r="A111" s="83" t="s">
        <v>258</v>
      </c>
      <c r="B111" s="99">
        <f>(B110/$R110)*100</f>
        <v>29.891101095600813</v>
      </c>
      <c r="C111" s="99">
        <f t="shared" ref="C111:P111" si="51">(C110/$R110)*100</f>
        <v>49.851438908139869</v>
      </c>
      <c r="D111" s="99">
        <f t="shared" si="51"/>
        <v>2.3050116820053828</v>
      </c>
      <c r="E111" s="99">
        <f t="shared" si="51"/>
        <v>1.1413795500669648</v>
      </c>
      <c r="F111" s="99">
        <f t="shared" si="51"/>
        <v>3.0468053687057095</v>
      </c>
      <c r="G111" s="99">
        <f t="shared" si="51"/>
        <v>2.0638706791729868</v>
      </c>
      <c r="H111" s="99">
        <f t="shared" si="51"/>
        <v>0.15418271294753222</v>
      </c>
      <c r="I111" s="99">
        <f t="shared" si="51"/>
        <v>1.3054724344295772</v>
      </c>
      <c r="J111" s="99">
        <f t="shared" si="51"/>
        <v>0.20545465390277273</v>
      </c>
      <c r="K111" s="99">
        <f t="shared" si="51"/>
        <v>0.7105561479270659</v>
      </c>
      <c r="L111" s="99">
        <f t="shared" si="51"/>
        <v>8.6939630900194752E-3</v>
      </c>
      <c r="M111" s="99">
        <f t="shared" si="51"/>
        <v>3.0179552376780945E-2</v>
      </c>
      <c r="N111" s="99">
        <f t="shared" si="51"/>
        <v>1.4068717010303018</v>
      </c>
      <c r="O111" s="99">
        <f t="shared" si="51"/>
        <v>7.8761980331222894</v>
      </c>
      <c r="P111" s="99">
        <f t="shared" si="51"/>
        <v>0</v>
      </c>
      <c r="Q111" s="99">
        <f>(Q110/$R110)*100</f>
        <v>2.7835174819427918E-3</v>
      </c>
      <c r="R111" s="82">
        <f t="shared" si="49"/>
        <v>100.00000000000001</v>
      </c>
    </row>
    <row r="112" spans="1:18" ht="81.75" customHeight="1" thickTop="1" thickBot="1">
      <c r="A112" s="83" t="s">
        <v>543</v>
      </c>
      <c r="B112" s="99">
        <v>128107.392137</v>
      </c>
      <c r="C112" s="99">
        <v>202922.33587800001</v>
      </c>
      <c r="D112" s="99">
        <v>14107.456604000001</v>
      </c>
      <c r="E112" s="99">
        <v>6228.6408689999998</v>
      </c>
      <c r="F112" s="99">
        <v>16921.370481999998</v>
      </c>
      <c r="G112" s="99">
        <v>13996.865809000001</v>
      </c>
      <c r="H112" s="99">
        <v>11093.890251000001</v>
      </c>
      <c r="I112" s="99">
        <v>6482.0102230000002</v>
      </c>
      <c r="J112" s="99">
        <v>994.60806300000002</v>
      </c>
      <c r="K112" s="99">
        <v>4142.1335479999998</v>
      </c>
      <c r="L112" s="99">
        <v>46.505636000000003</v>
      </c>
      <c r="M112" s="99">
        <v>527.10236599999996</v>
      </c>
      <c r="N112" s="99">
        <v>6462.7224809999998</v>
      </c>
      <c r="O112" s="99">
        <v>37715.547210999997</v>
      </c>
      <c r="P112" s="99">
        <v>0</v>
      </c>
      <c r="Q112" s="99">
        <v>72.882807</v>
      </c>
      <c r="R112" s="94">
        <f t="shared" ref="R112:R119" si="52">SUM(B112:Q112)</f>
        <v>449821.46436500008</v>
      </c>
    </row>
    <row r="113" spans="1:19" ht="81.75" customHeight="1" thickTop="1" thickBot="1">
      <c r="A113" s="83" t="s">
        <v>544</v>
      </c>
      <c r="B113" s="99">
        <f>(B112/$R112)*100</f>
        <v>28.479608530430067</v>
      </c>
      <c r="C113" s="99">
        <f t="shared" ref="C113:P113" si="53">(C112/$R112)*100</f>
        <v>45.111750317308577</v>
      </c>
      <c r="D113" s="99">
        <f t="shared" si="53"/>
        <v>3.136234644541716</v>
      </c>
      <c r="E113" s="99">
        <f t="shared" si="53"/>
        <v>1.3846917860606744</v>
      </c>
      <c r="F113" s="99">
        <f t="shared" si="53"/>
        <v>3.7617970289362264</v>
      </c>
      <c r="G113" s="99">
        <f t="shared" si="53"/>
        <v>3.1116491581296528</v>
      </c>
      <c r="H113" s="99">
        <f t="shared" si="53"/>
        <v>2.4662874339847085</v>
      </c>
      <c r="I113" s="99">
        <f t="shared" si="53"/>
        <v>1.441018434313815</v>
      </c>
      <c r="J113" s="99">
        <f t="shared" si="53"/>
        <v>0.22111173916612878</v>
      </c>
      <c r="K113" s="99">
        <f t="shared" si="53"/>
        <v>0.92083946101756831</v>
      </c>
      <c r="L113" s="99">
        <f t="shared" si="53"/>
        <v>1.0338687609238626E-2</v>
      </c>
      <c r="M113" s="99">
        <f t="shared" si="53"/>
        <v>0.11718034992929807</v>
      </c>
      <c r="N113" s="99">
        <f t="shared" si="53"/>
        <v>1.436730568231829</v>
      </c>
      <c r="O113" s="99">
        <f t="shared" si="53"/>
        <v>8.3845592526897175</v>
      </c>
      <c r="P113" s="99">
        <f t="shared" si="53"/>
        <v>0</v>
      </c>
      <c r="Q113" s="99">
        <f>(Q112/$R112)*100</f>
        <v>1.6202607650767965E-2</v>
      </c>
      <c r="R113" s="82">
        <f t="shared" si="52"/>
        <v>99.999999999999972</v>
      </c>
    </row>
    <row r="114" spans="1:19" ht="81.75" customHeight="1" thickTop="1" thickBot="1">
      <c r="A114" s="83" t="s">
        <v>545</v>
      </c>
      <c r="B114" s="99">
        <v>126989.185327</v>
      </c>
      <c r="C114" s="99">
        <v>205074.62719699999</v>
      </c>
      <c r="D114" s="99">
        <v>16077.401091</v>
      </c>
      <c r="E114" s="99">
        <v>5037.7436180000004</v>
      </c>
      <c r="F114" s="99">
        <v>19095.371853000001</v>
      </c>
      <c r="G114" s="99">
        <v>9866.2151799999992</v>
      </c>
      <c r="H114" s="99">
        <v>292.05892999999998</v>
      </c>
      <c r="I114" s="99">
        <v>6378.276699</v>
      </c>
      <c r="J114" s="99">
        <v>976.39309000000003</v>
      </c>
      <c r="K114" s="99">
        <v>6682.7905620000001</v>
      </c>
      <c r="L114" s="99">
        <v>39.027779000000002</v>
      </c>
      <c r="M114" s="99">
        <v>285.04948300000001</v>
      </c>
      <c r="N114" s="99">
        <v>6617.302361</v>
      </c>
      <c r="O114" s="99">
        <v>46332.080131000002</v>
      </c>
      <c r="P114" s="99">
        <v>0</v>
      </c>
      <c r="Q114" s="99">
        <v>77.941098999999994</v>
      </c>
      <c r="R114" s="94">
        <f t="shared" si="52"/>
        <v>449821.46440000006</v>
      </c>
    </row>
    <row r="115" spans="1:19" ht="81.75" customHeight="1" thickTop="1" thickBot="1">
      <c r="A115" s="83" t="s">
        <v>546</v>
      </c>
      <c r="B115" s="99">
        <f>(B114/$R114)*100</f>
        <v>28.231019499344278</v>
      </c>
      <c r="C115" s="99">
        <f t="shared" ref="C115:P115" si="54">(C114/$R114)*100</f>
        <v>45.590227107223825</v>
      </c>
      <c r="D115" s="99">
        <f t="shared" si="54"/>
        <v>3.5741738363786268</v>
      </c>
      <c r="E115" s="99">
        <f t="shared" si="54"/>
        <v>1.1199429144004183</v>
      </c>
      <c r="F115" s="99">
        <f t="shared" si="54"/>
        <v>4.2451001929111136</v>
      </c>
      <c r="G115" s="99">
        <f t="shared" si="54"/>
        <v>2.1933624695211407</v>
      </c>
      <c r="H115" s="99">
        <f t="shared" si="54"/>
        <v>6.4927744252837385E-2</v>
      </c>
      <c r="I115" s="99">
        <f t="shared" si="54"/>
        <v>1.4179573906077922</v>
      </c>
      <c r="J115" s="99">
        <f t="shared" si="54"/>
        <v>0.21706236079738306</v>
      </c>
      <c r="K115" s="99">
        <f t="shared" si="54"/>
        <v>1.4856539962835975</v>
      </c>
      <c r="L115" s="99">
        <f t="shared" si="54"/>
        <v>8.6762820560503245E-3</v>
      </c>
      <c r="M115" s="99">
        <f t="shared" si="54"/>
        <v>6.336947112566467E-2</v>
      </c>
      <c r="N115" s="99">
        <f t="shared" si="54"/>
        <v>1.4710952866214535</v>
      </c>
      <c r="O115" s="99">
        <f t="shared" si="54"/>
        <v>10.300104329792404</v>
      </c>
      <c r="P115" s="99">
        <f t="shared" si="54"/>
        <v>0</v>
      </c>
      <c r="Q115" s="99">
        <f>(Q114/$R114)*100</f>
        <v>1.7327118683400915E-2</v>
      </c>
      <c r="R115" s="82">
        <f t="shared" si="52"/>
        <v>99.999999999999986</v>
      </c>
    </row>
    <row r="116" spans="1:19" ht="81.75" customHeight="1" thickTop="1" thickBot="1">
      <c r="A116" s="83" t="s">
        <v>259</v>
      </c>
      <c r="B116" s="99">
        <v>149963.64043900001</v>
      </c>
      <c r="C116" s="99">
        <v>218890.44128100001</v>
      </c>
      <c r="D116" s="99">
        <v>21062.078751000001</v>
      </c>
      <c r="E116" s="99">
        <v>10303.897161999999</v>
      </c>
      <c r="F116" s="99">
        <v>44245.56091</v>
      </c>
      <c r="G116" s="99">
        <v>14769.444514000001</v>
      </c>
      <c r="H116" s="99">
        <v>6650.6829429999998</v>
      </c>
      <c r="I116" s="99">
        <v>8375.7499950000001</v>
      </c>
      <c r="J116" s="99">
        <v>1053.2882480000001</v>
      </c>
      <c r="K116" s="99">
        <v>6765.4101449999998</v>
      </c>
      <c r="L116" s="99">
        <v>56.828890999999999</v>
      </c>
      <c r="M116" s="99">
        <v>560.12926800000002</v>
      </c>
      <c r="N116" s="99">
        <v>8195.0849930000004</v>
      </c>
      <c r="O116" s="99">
        <v>51889.682654999997</v>
      </c>
      <c r="P116" s="99">
        <v>4.2591999999999998E-2</v>
      </c>
      <c r="Q116" s="99">
        <v>30.938879</v>
      </c>
      <c r="R116" s="94">
        <f t="shared" si="52"/>
        <v>542812.90166600002</v>
      </c>
    </row>
    <row r="117" spans="1:19" ht="81.75" customHeight="1" thickTop="1" thickBot="1">
      <c r="A117" s="83" t="s">
        <v>260</v>
      </c>
      <c r="B117" s="99">
        <f>(B116/$R116)*100</f>
        <v>27.627132660025577</v>
      </c>
      <c r="C117" s="99">
        <f t="shared" ref="C117:P117" si="55">(C116/$R116)*100</f>
        <v>40.325209774709116</v>
      </c>
      <c r="D117" s="99">
        <f t="shared" si="55"/>
        <v>3.8801728342042576</v>
      </c>
      <c r="E117" s="99">
        <f t="shared" si="55"/>
        <v>1.8982410201333284</v>
      </c>
      <c r="F117" s="99">
        <f t="shared" si="55"/>
        <v>8.1511623570850347</v>
      </c>
      <c r="G117" s="99">
        <f t="shared" si="55"/>
        <v>2.7209088930402459</v>
      </c>
      <c r="H117" s="99">
        <f t="shared" si="55"/>
        <v>1.2252256574204003</v>
      </c>
      <c r="I117" s="99">
        <f t="shared" si="55"/>
        <v>1.5430270668388995</v>
      </c>
      <c r="J117" s="99">
        <f t="shared" si="55"/>
        <v>0.19404259640241608</v>
      </c>
      <c r="K117" s="99">
        <f t="shared" si="55"/>
        <v>1.2463613381766756</v>
      </c>
      <c r="L117" s="99">
        <f t="shared" si="55"/>
        <v>1.0469333139573673E-2</v>
      </c>
      <c r="M117" s="99">
        <f t="shared" si="55"/>
        <v>0.10319011694100355</v>
      </c>
      <c r="N117" s="99">
        <f t="shared" si="55"/>
        <v>1.509743959262513</v>
      </c>
      <c r="O117" s="99">
        <f t="shared" si="55"/>
        <v>9.5594048143919039</v>
      </c>
      <c r="P117" s="99">
        <f t="shared" si="55"/>
        <v>7.846534205299236E-6</v>
      </c>
      <c r="Q117" s="99">
        <f>(Q116/$R116)*100</f>
        <v>5.6997316948514797E-3</v>
      </c>
      <c r="R117" s="82">
        <f t="shared" si="52"/>
        <v>99.999999999999972</v>
      </c>
    </row>
    <row r="118" spans="1:19" ht="81.75" customHeight="1" thickTop="1" thickBot="1">
      <c r="A118" s="83" t="s">
        <v>261</v>
      </c>
      <c r="B118" s="99">
        <v>145036.98684</v>
      </c>
      <c r="C118" s="99">
        <v>215832.41805199999</v>
      </c>
      <c r="D118" s="99">
        <v>21721.200656000001</v>
      </c>
      <c r="E118" s="99">
        <v>6973.2882650000001</v>
      </c>
      <c r="F118" s="99">
        <v>28589.200572000002</v>
      </c>
      <c r="G118" s="99">
        <v>13210.884829000001</v>
      </c>
      <c r="H118" s="99">
        <v>9673.0938979999992</v>
      </c>
      <c r="I118" s="99">
        <v>6749.6614369999998</v>
      </c>
      <c r="J118" s="99">
        <v>1058.1885629999999</v>
      </c>
      <c r="K118" s="99">
        <v>5153.8368460000002</v>
      </c>
      <c r="L118" s="99">
        <v>51.033312000000002</v>
      </c>
      <c r="M118" s="99">
        <v>361.89070700000002</v>
      </c>
      <c r="N118" s="99">
        <v>8135.510518</v>
      </c>
      <c r="O118" s="99">
        <v>80234.285734999998</v>
      </c>
      <c r="P118" s="99">
        <v>0</v>
      </c>
      <c r="Q118" s="99">
        <v>31.421438999999999</v>
      </c>
      <c r="R118" s="94">
        <v>542812.90166900004</v>
      </c>
    </row>
    <row r="119" spans="1:19" ht="81.75" customHeight="1" thickTop="1" thickBot="1">
      <c r="A119" s="83" t="s">
        <v>262</v>
      </c>
      <c r="B119" s="99">
        <f>(B118/$R118)*100</f>
        <v>26.719517239559199</v>
      </c>
      <c r="C119" s="99">
        <f t="shared" ref="C119:P119" si="56">(C118/$R118)*100</f>
        <v>39.761843793390831</v>
      </c>
      <c r="D119" s="99">
        <f t="shared" si="56"/>
        <v>4.0015999231435542</v>
      </c>
      <c r="E119" s="99">
        <f t="shared" si="56"/>
        <v>1.2846577971081861</v>
      </c>
      <c r="F119" s="99">
        <f t="shared" si="56"/>
        <v>5.2668609172877234</v>
      </c>
      <c r="G119" s="99">
        <f t="shared" si="56"/>
        <v>2.4337823932298166</v>
      </c>
      <c r="H119" s="99">
        <f t="shared" si="56"/>
        <v>1.7820309480960936</v>
      </c>
      <c r="I119" s="99">
        <f t="shared" si="56"/>
        <v>1.2434600239321232</v>
      </c>
      <c r="J119" s="99">
        <f t="shared" si="56"/>
        <v>0.19494535957903023</v>
      </c>
      <c r="K119" s="99">
        <f t="shared" si="56"/>
        <v>0.94946837670095396</v>
      </c>
      <c r="L119" s="99">
        <f t="shared" si="56"/>
        <v>9.4016394678694323E-3</v>
      </c>
      <c r="M119" s="99">
        <f t="shared" si="56"/>
        <v>6.6669510965433193E-2</v>
      </c>
      <c r="N119" s="99">
        <f>(N118/$R118)*100</f>
        <v>1.4987688194192783</v>
      </c>
      <c r="O119" s="99">
        <f t="shared" si="56"/>
        <v>14.781204626548428</v>
      </c>
      <c r="P119" s="99">
        <f t="shared" si="56"/>
        <v>0</v>
      </c>
      <c r="Q119" s="99">
        <f>(Q118/$R118)*100</f>
        <v>5.7886315714655526E-3</v>
      </c>
      <c r="R119" s="82">
        <f t="shared" si="52"/>
        <v>100</v>
      </c>
    </row>
    <row r="120" spans="1:19" ht="81.75" customHeight="1" thickTop="1" thickBot="1">
      <c r="A120" s="83" t="s">
        <v>263</v>
      </c>
      <c r="B120" s="99">
        <v>127457.676664</v>
      </c>
      <c r="C120" s="99">
        <v>177986.58462099999</v>
      </c>
      <c r="D120" s="99">
        <v>23569.843187999999</v>
      </c>
      <c r="E120" s="99">
        <v>7487.7215169999999</v>
      </c>
      <c r="F120" s="99">
        <v>24273.576495000001</v>
      </c>
      <c r="G120" s="99">
        <v>14307.371279000001</v>
      </c>
      <c r="H120" s="99">
        <v>9929.9255869999997</v>
      </c>
      <c r="I120" s="99">
        <v>12086.590698</v>
      </c>
      <c r="J120" s="99">
        <v>1054.512072</v>
      </c>
      <c r="K120" s="99">
        <v>5659.7350660000002</v>
      </c>
      <c r="L120" s="99">
        <v>22.632657999999999</v>
      </c>
      <c r="M120" s="99">
        <v>547.87981400000001</v>
      </c>
      <c r="N120" s="99">
        <v>6885.5245420000001</v>
      </c>
      <c r="O120" s="99">
        <v>83668.679246999993</v>
      </c>
      <c r="P120" s="99">
        <v>0</v>
      </c>
      <c r="Q120" s="99">
        <v>28.220545999999999</v>
      </c>
      <c r="R120" s="94">
        <f t="shared" ref="R120:R127" si="57">SUM(B120:Q120)</f>
        <v>494966.47399400006</v>
      </c>
    </row>
    <row r="121" spans="1:19" ht="81.75" customHeight="1" thickTop="1" thickBot="1">
      <c r="A121" s="83" t="s">
        <v>264</v>
      </c>
      <c r="B121" s="99">
        <f>(B120/$R120)*100</f>
        <v>25.750769670421157</v>
      </c>
      <c r="C121" s="99">
        <f t="shared" ref="C121:P121" si="58">(C120/$R120)*100</f>
        <v>35.959321281860703</v>
      </c>
      <c r="D121" s="99">
        <f t="shared" si="58"/>
        <v>4.7619070030762751</v>
      </c>
      <c r="E121" s="99">
        <f t="shared" si="58"/>
        <v>1.5127734726313535</v>
      </c>
      <c r="F121" s="99">
        <f t="shared" si="58"/>
        <v>4.9040849775401645</v>
      </c>
      <c r="G121" s="99">
        <f t="shared" si="58"/>
        <v>2.8905738127171485</v>
      </c>
      <c r="H121" s="99">
        <f t="shared" si="58"/>
        <v>2.0061814504067543</v>
      </c>
      <c r="I121" s="99">
        <f t="shared" si="58"/>
        <v>2.4419008827952484</v>
      </c>
      <c r="J121" s="99">
        <f t="shared" si="58"/>
        <v>0.21304717135504064</v>
      </c>
      <c r="K121" s="99">
        <f t="shared" si="58"/>
        <v>1.1434582670479227</v>
      </c>
      <c r="L121" s="99">
        <f t="shared" si="58"/>
        <v>4.5725638379851864E-3</v>
      </c>
      <c r="M121" s="99">
        <f t="shared" si="58"/>
        <v>0.11069028768333133</v>
      </c>
      <c r="N121" s="99">
        <f t="shared" si="58"/>
        <v>1.3911092778545373</v>
      </c>
      <c r="O121" s="99">
        <f t="shared" si="58"/>
        <v>16.903908374209241</v>
      </c>
      <c r="P121" s="99">
        <f t="shared" si="58"/>
        <v>0</v>
      </c>
      <c r="Q121" s="99">
        <f>(Q120/$R120)*100</f>
        <v>5.7015065631176639E-3</v>
      </c>
      <c r="R121" s="82">
        <f t="shared" si="57"/>
        <v>99.999999999999972</v>
      </c>
    </row>
    <row r="122" spans="1:19" ht="81.75" customHeight="1" thickTop="1" thickBot="1">
      <c r="A122" s="83" t="s">
        <v>265</v>
      </c>
      <c r="B122" s="99">
        <v>125973.865527</v>
      </c>
      <c r="C122" s="99">
        <v>188631.647134</v>
      </c>
      <c r="D122" s="99">
        <v>22008.373363999999</v>
      </c>
      <c r="E122" s="99">
        <v>5620.1563379999998</v>
      </c>
      <c r="F122" s="99">
        <v>22897.852867000001</v>
      </c>
      <c r="G122" s="99">
        <v>12875.306501999999</v>
      </c>
      <c r="H122" s="99">
        <v>9592.8152599999994</v>
      </c>
      <c r="I122" s="99">
        <v>4480.1824450000004</v>
      </c>
      <c r="J122" s="99">
        <v>806.40447600000005</v>
      </c>
      <c r="K122" s="99">
        <v>4427.6894540000003</v>
      </c>
      <c r="L122" s="99">
        <v>106.203892</v>
      </c>
      <c r="M122" s="99">
        <v>410.50277499999999</v>
      </c>
      <c r="N122" s="99">
        <v>7104.0104430000001</v>
      </c>
      <c r="O122" s="99">
        <v>90005.964701999997</v>
      </c>
      <c r="P122" s="99">
        <v>0</v>
      </c>
      <c r="Q122" s="99">
        <v>25.498809000000001</v>
      </c>
      <c r="R122" s="94">
        <f t="shared" si="57"/>
        <v>494966.47398799995</v>
      </c>
    </row>
    <row r="123" spans="1:19" ht="81.75" customHeight="1" thickTop="1" thickBot="1">
      <c r="A123" s="83" t="s">
        <v>266</v>
      </c>
      <c r="B123" s="99">
        <f>(B122/$R122)*100</f>
        <v>25.450989541173275</v>
      </c>
      <c r="C123" s="99">
        <f t="shared" ref="C123:M123" si="59">(C122/$R122)*100</f>
        <v>38.109984624650195</v>
      </c>
      <c r="D123" s="99">
        <f t="shared" si="59"/>
        <v>4.4464371872858548</v>
      </c>
      <c r="E123" s="99">
        <f t="shared" si="59"/>
        <v>1.1354620228553614</v>
      </c>
      <c r="F123" s="99">
        <f t="shared" si="59"/>
        <v>4.6261421874717001</v>
      </c>
      <c r="G123" s="99">
        <f t="shared" si="59"/>
        <v>2.601248201370534</v>
      </c>
      <c r="H123" s="99">
        <f t="shared" si="59"/>
        <v>1.9380737411787954</v>
      </c>
      <c r="I123" s="99">
        <f t="shared" si="59"/>
        <v>0.90514866772746683</v>
      </c>
      <c r="J123" s="99">
        <f t="shared" si="59"/>
        <v>0.1629210296816084</v>
      </c>
      <c r="K123" s="99">
        <f t="shared" si="59"/>
        <v>0.89454330478701183</v>
      </c>
      <c r="L123" s="99">
        <f t="shared" si="59"/>
        <v>2.1456784970566474E-2</v>
      </c>
      <c r="M123" s="99">
        <f t="shared" si="59"/>
        <v>8.2935470698153241E-2</v>
      </c>
      <c r="N123" s="99">
        <f>(N122/$R122)*100</f>
        <v>1.4352508334074019</v>
      </c>
      <c r="O123" s="99">
        <f>(O122/$R122)*100</f>
        <v>18.184254779280689</v>
      </c>
      <c r="P123" s="99">
        <f>(P122/$R122)*100</f>
        <v>0</v>
      </c>
      <c r="Q123" s="99">
        <f>(Q122/$R122)*100</f>
        <v>5.1516234613939119E-3</v>
      </c>
      <c r="R123" s="82">
        <f t="shared" si="57"/>
        <v>100.00000000000001</v>
      </c>
    </row>
    <row r="124" spans="1:19" ht="81.75" customHeight="1" thickTop="1" thickBot="1">
      <c r="A124" s="83" t="s">
        <v>267</v>
      </c>
      <c r="B124" s="99">
        <v>90901.781996999998</v>
      </c>
      <c r="C124" s="99">
        <v>149571.028487</v>
      </c>
      <c r="D124" s="99">
        <v>11052.730952</v>
      </c>
      <c r="E124" s="99">
        <v>4795.7223739999999</v>
      </c>
      <c r="F124" s="99">
        <v>20837.273707</v>
      </c>
      <c r="G124" s="99">
        <v>17084.308174999998</v>
      </c>
      <c r="H124" s="99">
        <v>892.59789799999999</v>
      </c>
      <c r="I124" s="99">
        <v>3358.281731</v>
      </c>
      <c r="J124" s="99">
        <v>841.779584</v>
      </c>
      <c r="K124" s="99">
        <v>3309.1421479999999</v>
      </c>
      <c r="L124" s="99">
        <v>28.235444999999999</v>
      </c>
      <c r="M124" s="99">
        <v>282.96637600000003</v>
      </c>
      <c r="N124" s="99">
        <v>5521.0199759999996</v>
      </c>
      <c r="O124" s="99">
        <v>53598.043436</v>
      </c>
      <c r="P124" s="99">
        <v>6.6387</v>
      </c>
      <c r="Q124" s="99">
        <v>1015.844932</v>
      </c>
      <c r="R124" s="94">
        <f t="shared" si="57"/>
        <v>363097.39591800008</v>
      </c>
    </row>
    <row r="125" spans="1:19" ht="81.75" customHeight="1" thickTop="1" thickBot="1">
      <c r="A125" s="83" t="s">
        <v>268</v>
      </c>
      <c r="B125" s="99">
        <f>(B124/$R124)*100</f>
        <v>25.035096097887948</v>
      </c>
      <c r="C125" s="99">
        <f t="shared" ref="C125:P125" si="60">(C124/$R124)*100</f>
        <v>41.193087631170542</v>
      </c>
      <c r="D125" s="99">
        <f t="shared" si="60"/>
        <v>3.0440127294375001</v>
      </c>
      <c r="E125" s="99">
        <f t="shared" si="60"/>
        <v>1.3207812636263134</v>
      </c>
      <c r="F125" s="99">
        <f t="shared" si="60"/>
        <v>5.7387560310968952</v>
      </c>
      <c r="G125" s="99">
        <f t="shared" si="60"/>
        <v>4.7051585516901433</v>
      </c>
      <c r="H125" s="99">
        <f t="shared" si="60"/>
        <v>0.24582877983558424</v>
      </c>
      <c r="I125" s="99">
        <f t="shared" si="60"/>
        <v>0.92489832445904285</v>
      </c>
      <c r="J125" s="99">
        <f t="shared" si="60"/>
        <v>0.23183299948262445</v>
      </c>
      <c r="K125" s="99">
        <f t="shared" si="60"/>
        <v>0.91136488038799335</v>
      </c>
      <c r="L125" s="99">
        <f t="shared" si="60"/>
        <v>7.7762730654164581E-3</v>
      </c>
      <c r="M125" s="99">
        <f t="shared" si="60"/>
        <v>7.7931260091962662E-2</v>
      </c>
      <c r="N125" s="99">
        <f t="shared" si="60"/>
        <v>1.5205341701891018</v>
      </c>
      <c r="O125" s="99">
        <f t="shared" si="60"/>
        <v>14.761340631620582</v>
      </c>
      <c r="P125" s="99">
        <f t="shared" si="60"/>
        <v>1.8283524130531762E-3</v>
      </c>
      <c r="Q125" s="99">
        <f>(Q124/$R124)*100</f>
        <v>0.27977202354527841</v>
      </c>
      <c r="R125" s="82">
        <f t="shared" si="57"/>
        <v>99.999999999999986</v>
      </c>
    </row>
    <row r="126" spans="1:19" ht="81.75" customHeight="1" thickTop="1" thickBot="1">
      <c r="A126" s="83" t="s">
        <v>269</v>
      </c>
      <c r="B126" s="99">
        <v>88132.063932999998</v>
      </c>
      <c r="C126" s="99">
        <v>152918.903093</v>
      </c>
      <c r="D126" s="99">
        <v>10270.516551999999</v>
      </c>
      <c r="E126" s="99">
        <v>3476.5079300000002</v>
      </c>
      <c r="F126" s="99">
        <v>16330.086660000001</v>
      </c>
      <c r="G126" s="99">
        <v>21711.965037999998</v>
      </c>
      <c r="H126" s="99">
        <v>4420.93869</v>
      </c>
      <c r="I126" s="99">
        <v>2630.134063</v>
      </c>
      <c r="J126" s="99">
        <v>772.09109999999998</v>
      </c>
      <c r="K126" s="99">
        <v>3352.7903289999999</v>
      </c>
      <c r="L126" s="99">
        <v>172.119764</v>
      </c>
      <c r="M126" s="99">
        <v>355.40100200000001</v>
      </c>
      <c r="N126" s="99">
        <v>5547.8427009999996</v>
      </c>
      <c r="O126" s="99">
        <v>52005.973926999999</v>
      </c>
      <c r="P126" s="99">
        <v>0</v>
      </c>
      <c r="Q126" s="99">
        <v>1000.061136</v>
      </c>
      <c r="R126" s="94">
        <f t="shared" si="57"/>
        <v>363097.39591799997</v>
      </c>
    </row>
    <row r="127" spans="1:19" ht="81.75" customHeight="1" thickTop="1" thickBot="1">
      <c r="A127" s="73" t="s">
        <v>270</v>
      </c>
      <c r="B127" s="114">
        <f>(B126/$R126)*100</f>
        <v>24.272293033162729</v>
      </c>
      <c r="C127" s="114">
        <f t="shared" ref="C127:M127" si="61">(C126/$R126)*100</f>
        <v>42.115119748072885</v>
      </c>
      <c r="D127" s="114">
        <f t="shared" si="61"/>
        <v>2.8285844700245217</v>
      </c>
      <c r="E127" s="114">
        <f t="shared" si="61"/>
        <v>0.95745878904213255</v>
      </c>
      <c r="F127" s="114">
        <f t="shared" si="61"/>
        <v>4.4974397623297477</v>
      </c>
      <c r="G127" s="114">
        <f t="shared" si="61"/>
        <v>5.9796531955583943</v>
      </c>
      <c r="H127" s="114">
        <f t="shared" si="61"/>
        <v>1.2175627640685149</v>
      </c>
      <c r="I127" s="114">
        <f t="shared" si="61"/>
        <v>0.72436048635115413</v>
      </c>
      <c r="J127" s="114">
        <f t="shared" si="61"/>
        <v>0.21264021958845586</v>
      </c>
      <c r="K127" s="114">
        <f t="shared" si="61"/>
        <v>0.92338594732229284</v>
      </c>
      <c r="L127" s="114">
        <f t="shared" si="61"/>
        <v>4.740319427652151E-2</v>
      </c>
      <c r="M127" s="114">
        <f t="shared" si="61"/>
        <v>9.7880350009522485E-2</v>
      </c>
      <c r="N127" s="114">
        <f>(N126/$R126)*100</f>
        <v>1.5279213685831268</v>
      </c>
      <c r="O127" s="114">
        <f>(O126/$R126)*100</f>
        <v>14.322871634900064</v>
      </c>
      <c r="P127" s="114">
        <f>(P126/$R126)*100</f>
        <v>0</v>
      </c>
      <c r="Q127" s="114">
        <f>(Q126/$R126)*100</f>
        <v>0.27542503670994345</v>
      </c>
      <c r="R127" s="135">
        <f t="shared" si="57"/>
        <v>100.00000000000001</v>
      </c>
    </row>
    <row r="128" spans="1:19" ht="72.75" customHeight="1" thickTop="1" thickBot="1">
      <c r="A128" s="73" t="s">
        <v>547</v>
      </c>
      <c r="B128" s="99">
        <v>67028.882347999999</v>
      </c>
      <c r="C128" s="99">
        <v>113135.75462399999</v>
      </c>
      <c r="D128" s="99">
        <v>9834.2078849999998</v>
      </c>
      <c r="E128" s="99">
        <v>4294.3072519999996</v>
      </c>
      <c r="F128" s="99">
        <v>21586.377815</v>
      </c>
      <c r="G128" s="99">
        <v>15111.749747</v>
      </c>
      <c r="H128" s="99">
        <v>6761.3033429999996</v>
      </c>
      <c r="I128" s="99">
        <v>3939.7429630000001</v>
      </c>
      <c r="J128" s="99">
        <v>427.80334199999999</v>
      </c>
      <c r="K128" s="99">
        <v>3736.9682619999999</v>
      </c>
      <c r="L128" s="99">
        <v>82.039771999999999</v>
      </c>
      <c r="M128" s="99">
        <v>210.349659</v>
      </c>
      <c r="N128" s="99">
        <v>5037.8976469999998</v>
      </c>
      <c r="O128" s="99">
        <v>54862.328167</v>
      </c>
      <c r="P128" s="99">
        <v>0</v>
      </c>
      <c r="Q128" s="99">
        <v>1113.7335189999999</v>
      </c>
      <c r="R128" s="82">
        <f>SUM(B128:Q128)</f>
        <v>307163.44634500006</v>
      </c>
      <c r="S128" s="36"/>
    </row>
    <row r="129" spans="1:18" ht="72.75" customHeight="1" thickTop="1" thickBot="1">
      <c r="A129" s="73" t="s">
        <v>548</v>
      </c>
      <c r="B129" s="99">
        <v>21.821894221330769</v>
      </c>
      <c r="C129" s="99">
        <v>36.832427806832229</v>
      </c>
      <c r="D129" s="99">
        <v>3.2016205059616394</v>
      </c>
      <c r="E129" s="99">
        <v>1.3980528292343473</v>
      </c>
      <c r="F129" s="99">
        <v>7.0276519136181967</v>
      </c>
      <c r="G129" s="99">
        <v>4.9197747735994515</v>
      </c>
      <c r="H129" s="99">
        <v>2.2012070197330167</v>
      </c>
      <c r="I129" s="99">
        <v>1.2826210312066095</v>
      </c>
      <c r="J129" s="99">
        <v>0.13927547274603097</v>
      </c>
      <c r="K129" s="99">
        <v>1.216605786419882</v>
      </c>
      <c r="L129" s="99">
        <v>2.6708833025611556E-2</v>
      </c>
      <c r="M129" s="99">
        <v>6.848134486801509E-2</v>
      </c>
      <c r="N129" s="99">
        <v>1.6401357996685355</v>
      </c>
      <c r="O129" s="99">
        <v>17.860956054445257</v>
      </c>
      <c r="P129" s="99">
        <v>0</v>
      </c>
      <c r="Q129" s="99">
        <v>0.36258660731038805</v>
      </c>
      <c r="R129" s="82">
        <f>SUM(B129:Q129)</f>
        <v>99.999999999999986</v>
      </c>
    </row>
    <row r="130" spans="1:18" ht="78" thickTop="1" thickBot="1">
      <c r="A130" s="83" t="s">
        <v>549</v>
      </c>
      <c r="B130" s="99">
        <v>65817.297177999993</v>
      </c>
      <c r="C130" s="99">
        <v>117248.407893</v>
      </c>
      <c r="D130" s="99">
        <v>9593.1458910000001</v>
      </c>
      <c r="E130" s="99">
        <v>2632.5963539999998</v>
      </c>
      <c r="F130" s="99">
        <v>15944.356999</v>
      </c>
      <c r="G130" s="99">
        <v>14347.106234999999</v>
      </c>
      <c r="H130" s="99">
        <v>3601.2840639999999</v>
      </c>
      <c r="I130" s="99">
        <v>1522.4560730000001</v>
      </c>
      <c r="J130" s="99">
        <v>596.370589</v>
      </c>
      <c r="K130" s="99">
        <v>3892.1166710000002</v>
      </c>
      <c r="L130" s="99">
        <v>237.068409</v>
      </c>
      <c r="M130" s="99">
        <v>204.52524399999999</v>
      </c>
      <c r="N130" s="99">
        <v>5218.1874770000004</v>
      </c>
      <c r="O130" s="99">
        <v>65066.867528000002</v>
      </c>
      <c r="P130" s="99">
        <v>497.25</v>
      </c>
      <c r="Q130" s="99">
        <v>744.40973899999995</v>
      </c>
      <c r="R130" s="82">
        <f>SUM(B130:Q130)</f>
        <v>307163.446344</v>
      </c>
    </row>
    <row r="131" spans="1:18" ht="65.25" thickTop="1" thickBot="1">
      <c r="A131" s="83" t="s">
        <v>550</v>
      </c>
      <c r="B131" s="99">
        <v>21.427451072511268</v>
      </c>
      <c r="C131" s="99">
        <v>38.171341443307867</v>
      </c>
      <c r="D131" s="99">
        <v>3.1231404664786826</v>
      </c>
      <c r="E131" s="99">
        <v>0.85706694117883075</v>
      </c>
      <c r="F131" s="99">
        <v>5.1908380338796949</v>
      </c>
      <c r="G131" s="99">
        <v>4.6708377594293289</v>
      </c>
      <c r="H131" s="99">
        <v>1.1724324970513686</v>
      </c>
      <c r="I131" s="99">
        <v>0.49565014689116477</v>
      </c>
      <c r="J131" s="99">
        <v>0.19415415346398665</v>
      </c>
      <c r="K131" s="99">
        <v>1.2671158359908234</v>
      </c>
      <c r="L131" s="99">
        <v>7.7179889671670499E-2</v>
      </c>
      <c r="M131" s="99">
        <v>6.6585150816073038E-2</v>
      </c>
      <c r="N131" s="99">
        <v>1.6988308794907914</v>
      </c>
      <c r="O131" s="99">
        <v>21.183141517148492</v>
      </c>
      <c r="P131" s="99">
        <v>0.16188449697335319</v>
      </c>
      <c r="Q131" s="99">
        <v>0.24234971571660155</v>
      </c>
      <c r="R131" s="82">
        <f>SUM(B131:Q131)</f>
        <v>99.999999999999986</v>
      </c>
    </row>
    <row r="132" spans="1:18" ht="78" thickTop="1" thickBot="1">
      <c r="A132" s="83" t="s">
        <v>428</v>
      </c>
      <c r="B132" s="99">
        <v>56586.642348000001</v>
      </c>
      <c r="C132" s="99">
        <v>108149.893041</v>
      </c>
      <c r="D132" s="99">
        <v>7809.5887229999998</v>
      </c>
      <c r="E132" s="99">
        <v>2783.240648</v>
      </c>
      <c r="F132" s="99">
        <v>13824.378742000001</v>
      </c>
      <c r="G132" s="99">
        <v>15355.045188</v>
      </c>
      <c r="H132" s="99">
        <v>2299.2352970000002</v>
      </c>
      <c r="I132" s="99">
        <v>1804.6335509999999</v>
      </c>
      <c r="J132" s="99">
        <v>630.02790400000004</v>
      </c>
      <c r="K132" s="99">
        <v>4326.7655409999998</v>
      </c>
      <c r="L132" s="99">
        <v>140.43275199999999</v>
      </c>
      <c r="M132" s="99">
        <v>139.46796000000001</v>
      </c>
      <c r="N132" s="99">
        <v>4528.3326029999998</v>
      </c>
      <c r="O132" s="99">
        <v>51049.268416999999</v>
      </c>
      <c r="P132" s="99">
        <v>50.832695000000001</v>
      </c>
      <c r="Q132" s="99">
        <v>236.99095700000001</v>
      </c>
      <c r="R132" s="82">
        <f t="shared" ref="R132:R135" si="62">SUM(B132:Q132)</f>
        <v>269714.77636699995</v>
      </c>
    </row>
    <row r="133" spans="1:18" ht="65.25" thickTop="1" thickBot="1">
      <c r="A133" s="83" t="s">
        <v>429</v>
      </c>
      <c r="B133" s="99">
        <v>20.98017880600014</v>
      </c>
      <c r="C133" s="99">
        <v>40.097874687384873</v>
      </c>
      <c r="D133" s="99">
        <v>2.8954990261169522</v>
      </c>
      <c r="E133" s="99">
        <v>1.0319199731989672</v>
      </c>
      <c r="F133" s="99">
        <v>5.1255548280340477</v>
      </c>
      <c r="G133" s="99">
        <v>5.6930678381174209</v>
      </c>
      <c r="H133" s="99">
        <v>0.85246916315457577</v>
      </c>
      <c r="I133" s="99">
        <v>0.66908961211099593</v>
      </c>
      <c r="J133" s="99">
        <v>0.23359042929955134</v>
      </c>
      <c r="K133" s="99">
        <v>1.6042004072897309</v>
      </c>
      <c r="L133" s="99">
        <v>5.2067133247795674E-2</v>
      </c>
      <c r="M133" s="99">
        <v>5.1709425000218169E-2</v>
      </c>
      <c r="N133" s="99">
        <v>1.6789338218675545</v>
      </c>
      <c r="O133" s="99">
        <v>18.927130765552658</v>
      </c>
      <c r="P133" s="99">
        <v>1.884683356422124E-2</v>
      </c>
      <c r="Q133" s="99">
        <v>8.7867250060310834E-2</v>
      </c>
      <c r="R133" s="82">
        <f t="shared" si="62"/>
        <v>100</v>
      </c>
    </row>
    <row r="134" spans="1:18" ht="78" thickTop="1" thickBot="1">
      <c r="A134" s="83" t="s">
        <v>430</v>
      </c>
      <c r="B134" s="99">
        <v>54673.013387999999</v>
      </c>
      <c r="C134" s="99">
        <v>108884.799942</v>
      </c>
      <c r="D134" s="99">
        <v>8845.1002709999993</v>
      </c>
      <c r="E134" s="99">
        <v>2464.344619</v>
      </c>
      <c r="F134" s="99">
        <v>12177.96355</v>
      </c>
      <c r="G134" s="99">
        <v>12830.387675</v>
      </c>
      <c r="H134" s="99">
        <v>4884.9620100000002</v>
      </c>
      <c r="I134" s="99">
        <v>1622.6572920000001</v>
      </c>
      <c r="J134" s="99">
        <v>698.53812000000005</v>
      </c>
      <c r="K134" s="99">
        <v>4716.5032490000003</v>
      </c>
      <c r="L134" s="99">
        <v>164.48782199999999</v>
      </c>
      <c r="M134" s="99">
        <v>196.567825</v>
      </c>
      <c r="N134" s="99">
        <v>4582.6997709999996</v>
      </c>
      <c r="O134" s="99">
        <v>52782.698636000001</v>
      </c>
      <c r="P134" s="99">
        <v>0</v>
      </c>
      <c r="Q134" s="99">
        <v>190.05219199999999</v>
      </c>
      <c r="R134" s="82">
        <f t="shared" si="62"/>
        <v>269714.77636199998</v>
      </c>
    </row>
    <row r="135" spans="1:18" ht="65.25" thickTop="1" thickBot="1">
      <c r="A135" s="83" t="s">
        <v>431</v>
      </c>
      <c r="B135" s="114">
        <v>20.270677834357933</v>
      </c>
      <c r="C135" s="114">
        <v>40.370350268039942</v>
      </c>
      <c r="D135" s="114">
        <v>3.2794273974550334</v>
      </c>
      <c r="E135" s="114">
        <v>0.91368543178830475</v>
      </c>
      <c r="F135" s="114">
        <v>4.5151265771420857</v>
      </c>
      <c r="G135" s="114">
        <v>4.7570206749739166</v>
      </c>
      <c r="H135" s="114">
        <v>1.8111584674336145</v>
      </c>
      <c r="I135" s="114">
        <v>0.60161972357870996</v>
      </c>
      <c r="J135" s="114">
        <v>0.25899141657053715</v>
      </c>
      <c r="K135" s="114">
        <v>1.7487003539879125</v>
      </c>
      <c r="L135" s="114">
        <v>6.0985840011683778E-2</v>
      </c>
      <c r="M135" s="114">
        <v>7.2879887283659545E-2</v>
      </c>
      <c r="N135" s="114">
        <v>1.699091103873853</v>
      </c>
      <c r="O135" s="114">
        <v>19.56982088558517</v>
      </c>
      <c r="P135" s="114">
        <v>0</v>
      </c>
      <c r="Q135" s="114">
        <v>7.0464137917649647E-2</v>
      </c>
      <c r="R135" s="135">
        <f t="shared" si="62"/>
        <v>100.00000000000001</v>
      </c>
    </row>
    <row r="136" spans="1:18" ht="78" thickTop="1" thickBot="1">
      <c r="A136" s="83" t="s">
        <v>444</v>
      </c>
      <c r="B136" s="99">
        <v>75398.473557999998</v>
      </c>
      <c r="C136" s="99">
        <v>133084.04402100001</v>
      </c>
      <c r="D136" s="99">
        <v>12298.314317</v>
      </c>
      <c r="E136" s="99">
        <v>2971.4166650000002</v>
      </c>
      <c r="F136" s="99">
        <v>18104.348725</v>
      </c>
      <c r="G136" s="99">
        <v>12621.726796000001</v>
      </c>
      <c r="H136" s="99">
        <v>3858.4230459999999</v>
      </c>
      <c r="I136" s="99">
        <v>2670.6225420000001</v>
      </c>
      <c r="J136" s="99">
        <v>667.44972199999995</v>
      </c>
      <c r="K136" s="99">
        <v>4827.6029989999997</v>
      </c>
      <c r="L136" s="99">
        <v>107.601156</v>
      </c>
      <c r="M136" s="99">
        <v>139.78977800000001</v>
      </c>
      <c r="N136" s="99">
        <v>6199.6173449999997</v>
      </c>
      <c r="O136" s="99">
        <v>51635.559144999999</v>
      </c>
      <c r="P136" s="99">
        <v>80.498087999999996</v>
      </c>
      <c r="Q136" s="99">
        <v>346.63292999999999</v>
      </c>
      <c r="R136" s="82">
        <f t="shared" ref="R136:R139" si="63">SUM(B136:Q136)</f>
        <v>325012.12083299999</v>
      </c>
    </row>
    <row r="137" spans="1:18" ht="65.25" thickTop="1" thickBot="1">
      <c r="A137" s="83" t="s">
        <v>445</v>
      </c>
      <c r="B137" s="99">
        <v>23.198665134320258</v>
      </c>
      <c r="C137" s="99">
        <v>40.947409493500764</v>
      </c>
      <c r="D137" s="99">
        <v>3.7839555907883224</v>
      </c>
      <c r="E137" s="99">
        <v>0.91424795400993508</v>
      </c>
      <c r="F137" s="99">
        <v>5.5703610925644531</v>
      </c>
      <c r="G137" s="99">
        <v>3.8834634116570026</v>
      </c>
      <c r="H137" s="99">
        <v>1.1871628159931185</v>
      </c>
      <c r="I137" s="99">
        <v>0.82169936775134556</v>
      </c>
      <c r="J137" s="99">
        <v>0.20536148630067669</v>
      </c>
      <c r="K137" s="99">
        <v>1.4853609110413923</v>
      </c>
      <c r="L137" s="99">
        <v>3.3106813285676932E-2</v>
      </c>
      <c r="M137" s="99">
        <v>4.3010635308529853E-2</v>
      </c>
      <c r="N137" s="99">
        <v>1.9075034275984832</v>
      </c>
      <c r="O137" s="99">
        <v>15.887271838557599</v>
      </c>
      <c r="P137" s="99">
        <v>2.4767718752668332E-2</v>
      </c>
      <c r="Q137" s="99">
        <v>0.10665230856978081</v>
      </c>
      <c r="R137" s="82">
        <f t="shared" si="63"/>
        <v>100.00000000000001</v>
      </c>
    </row>
    <row r="138" spans="1:18" ht="78" thickTop="1" thickBot="1">
      <c r="A138" s="83" t="s">
        <v>446</v>
      </c>
      <c r="B138" s="99">
        <v>71791.222210000007</v>
      </c>
      <c r="C138" s="99">
        <v>135156.26487700001</v>
      </c>
      <c r="D138" s="99">
        <v>9984.6107260000008</v>
      </c>
      <c r="E138" s="99">
        <v>2621.6892950000001</v>
      </c>
      <c r="F138" s="99">
        <v>15502.015959</v>
      </c>
      <c r="G138" s="99">
        <v>12637.042127999999</v>
      </c>
      <c r="H138" s="99">
        <v>5990.6093639999999</v>
      </c>
      <c r="I138" s="99">
        <v>1720.6276379999999</v>
      </c>
      <c r="J138" s="99">
        <v>755.36779300000001</v>
      </c>
      <c r="K138" s="99">
        <v>4445.1434710000003</v>
      </c>
      <c r="L138" s="99">
        <v>132.299916</v>
      </c>
      <c r="M138" s="99">
        <v>148.62584200000001</v>
      </c>
      <c r="N138" s="99">
        <v>6154.3979849999996</v>
      </c>
      <c r="O138" s="99">
        <v>57681.307743999998</v>
      </c>
      <c r="P138" s="99">
        <v>1.6854999999999998E-2</v>
      </c>
      <c r="Q138" s="99">
        <v>290.879031</v>
      </c>
      <c r="R138" s="82">
        <f t="shared" si="63"/>
        <v>325012.12083400006</v>
      </c>
    </row>
    <row r="139" spans="1:18" ht="65.25" thickTop="1" thickBot="1">
      <c r="A139" s="83" t="s">
        <v>447</v>
      </c>
      <c r="B139" s="114">
        <v>22.088783035469429</v>
      </c>
      <c r="C139" s="114">
        <v>41.584992132041457</v>
      </c>
      <c r="D139" s="114">
        <v>3.0720733431045302</v>
      </c>
      <c r="E139" s="114">
        <v>0.80664354556149853</v>
      </c>
      <c r="F139" s="114">
        <v>4.7696731799481578</v>
      </c>
      <c r="G139" s="114">
        <v>3.8881756457490297</v>
      </c>
      <c r="H139" s="114">
        <v>1.8431956779420247</v>
      </c>
      <c r="I139" s="114">
        <v>0.52940414455459972</v>
      </c>
      <c r="J139" s="114">
        <v>0.23241219160124926</v>
      </c>
      <c r="K139" s="114">
        <v>1.3676854449592535</v>
      </c>
      <c r="L139" s="114">
        <v>4.0706148330871689E-2</v>
      </c>
      <c r="M139" s="114">
        <v>4.5729322838365977E-2</v>
      </c>
      <c r="N139" s="114">
        <v>1.8935902972502856</v>
      </c>
      <c r="O139" s="114">
        <v>17.747432802194083</v>
      </c>
      <c r="P139" s="114">
        <v>5.1859604364135978E-6</v>
      </c>
      <c r="Q139" s="114">
        <v>8.949790249470925E-2</v>
      </c>
      <c r="R139" s="135">
        <f t="shared" si="63"/>
        <v>99.999999999999986</v>
      </c>
    </row>
    <row r="140" spans="1:18" ht="78" thickTop="1" thickBot="1">
      <c r="A140" s="83" t="s">
        <v>449</v>
      </c>
      <c r="B140" s="81">
        <v>79221.541626000006</v>
      </c>
      <c r="C140" s="81">
        <v>141267.95949499999</v>
      </c>
      <c r="D140" s="81">
        <v>10663.529098000001</v>
      </c>
      <c r="E140" s="81">
        <v>3938.2421399999998</v>
      </c>
      <c r="F140" s="81">
        <v>26034.322853999998</v>
      </c>
      <c r="G140" s="81">
        <v>19727.675848999999</v>
      </c>
      <c r="H140" s="81">
        <v>14718.076114</v>
      </c>
      <c r="I140" s="81">
        <v>3010.8003939999999</v>
      </c>
      <c r="J140" s="81">
        <v>908.30939699999999</v>
      </c>
      <c r="K140" s="81">
        <v>5097.9712600000003</v>
      </c>
      <c r="L140" s="81">
        <v>237.58313999999999</v>
      </c>
      <c r="M140" s="81">
        <v>319.51433600000001</v>
      </c>
      <c r="N140" s="81">
        <v>6757.8478160000004</v>
      </c>
      <c r="O140" s="81">
        <v>67041.774753999998</v>
      </c>
      <c r="P140" s="81">
        <v>87.338044999999994</v>
      </c>
      <c r="Q140" s="81">
        <v>436.44330600000001</v>
      </c>
      <c r="R140" s="82">
        <f t="shared" ref="R140:R143" si="64">SUM(B140:Q140)</f>
        <v>379468.92962399998</v>
      </c>
    </row>
    <row r="141" spans="1:18" ht="65.25" thickTop="1" thickBot="1">
      <c r="A141" s="83" t="s">
        <v>450</v>
      </c>
      <c r="B141" s="99">
        <v>20.876950770250769</v>
      </c>
      <c r="C141" s="99">
        <v>37.227806670489869</v>
      </c>
      <c r="D141" s="99">
        <v>2.8101191601025279</v>
      </c>
      <c r="E141" s="99">
        <v>1.0378299335079266</v>
      </c>
      <c r="F141" s="99">
        <v>6.8607258253782017</v>
      </c>
      <c r="G141" s="99">
        <v>5.1987591892035363</v>
      </c>
      <c r="H141" s="99">
        <v>3.8785984740789003</v>
      </c>
      <c r="I141" s="99">
        <v>0.793424746785798</v>
      </c>
      <c r="J141" s="99">
        <v>0.23936331174729011</v>
      </c>
      <c r="K141" s="99">
        <v>1.3434489261219273</v>
      </c>
      <c r="L141" s="99">
        <v>6.2609378911578153E-2</v>
      </c>
      <c r="M141" s="99">
        <v>8.4200394566320225E-2</v>
      </c>
      <c r="N141" s="99">
        <v>1.7808698653394552</v>
      </c>
      <c r="O141" s="99">
        <v>17.667263251415317</v>
      </c>
      <c r="P141" s="99">
        <v>2.3015861953846823E-2</v>
      </c>
      <c r="Q141" s="99">
        <v>0.11501424014673707</v>
      </c>
      <c r="R141" s="82">
        <f t="shared" si="64"/>
        <v>100.00000000000001</v>
      </c>
    </row>
    <row r="142" spans="1:18" ht="78" thickTop="1" thickBot="1">
      <c r="A142" s="83" t="s">
        <v>451</v>
      </c>
      <c r="B142" s="81">
        <v>78537.581036999996</v>
      </c>
      <c r="C142" s="81">
        <v>145819.85907999999</v>
      </c>
      <c r="D142" s="81">
        <v>9845.2066200000008</v>
      </c>
      <c r="E142" s="81">
        <v>3498.2716049999999</v>
      </c>
      <c r="F142" s="81">
        <v>18099.688356999999</v>
      </c>
      <c r="G142" s="81">
        <v>17558.356254999999</v>
      </c>
      <c r="H142" s="81">
        <v>17953.071924</v>
      </c>
      <c r="I142" s="81">
        <v>2117.7415879999999</v>
      </c>
      <c r="J142" s="81">
        <v>1152.9659160000001</v>
      </c>
      <c r="K142" s="81">
        <v>5481.7002460000003</v>
      </c>
      <c r="L142" s="81">
        <v>299.160616</v>
      </c>
      <c r="M142" s="81">
        <v>224.696641</v>
      </c>
      <c r="N142" s="81">
        <v>6850.7120919999998</v>
      </c>
      <c r="O142" s="81">
        <v>71535.672686000005</v>
      </c>
      <c r="P142" s="81">
        <v>3.288E-2</v>
      </c>
      <c r="Q142" s="81">
        <v>494.21208000000001</v>
      </c>
      <c r="R142" s="82">
        <f t="shared" si="64"/>
        <v>379468.92962300003</v>
      </c>
    </row>
    <row r="143" spans="1:18" ht="65.25" thickTop="1" thickBot="1">
      <c r="A143" s="73" t="s">
        <v>452</v>
      </c>
      <c r="B143" s="114">
        <v>20.696709244423932</v>
      </c>
      <c r="C143" s="114">
        <v>38.427351410528154</v>
      </c>
      <c r="D143" s="114">
        <v>2.5944697579802254</v>
      </c>
      <c r="E143" s="114">
        <v>0.92188617615558432</v>
      </c>
      <c r="F143" s="114">
        <v>4.7697418534323548</v>
      </c>
      <c r="G143" s="114">
        <v>4.6270866688464096</v>
      </c>
      <c r="H143" s="114">
        <v>4.7311045839342531</v>
      </c>
      <c r="I143" s="114">
        <v>0.55808036513133308</v>
      </c>
      <c r="J143" s="114">
        <v>0.30383671125471706</v>
      </c>
      <c r="K143" s="114">
        <v>1.4445715625376851</v>
      </c>
      <c r="L143" s="114">
        <v>7.8836656349497228E-2</v>
      </c>
      <c r="M143" s="114">
        <v>5.9213448970179106E-2</v>
      </c>
      <c r="N143" s="114">
        <v>1.8053420338803861</v>
      </c>
      <c r="O143" s="114">
        <v>18.851523036963854</v>
      </c>
      <c r="P143" s="114">
        <v>8.6647410191569756E-6</v>
      </c>
      <c r="Q143" s="114">
        <v>0.13023782487040417</v>
      </c>
      <c r="R143" s="135">
        <f t="shared" si="64"/>
        <v>100</v>
      </c>
    </row>
    <row r="144" spans="1:18" ht="78" thickTop="1" thickBot="1">
      <c r="A144" s="73" t="s">
        <v>515</v>
      </c>
      <c r="B144" s="113">
        <v>72058.917247999998</v>
      </c>
      <c r="C144" s="113">
        <v>131004.268897</v>
      </c>
      <c r="D144" s="113">
        <v>13205.429457</v>
      </c>
      <c r="E144" s="113">
        <v>3972.2827889999999</v>
      </c>
      <c r="F144" s="113">
        <v>18867.353241000001</v>
      </c>
      <c r="G144" s="113">
        <v>17525.776613999999</v>
      </c>
      <c r="H144" s="113">
        <v>15149.346611999999</v>
      </c>
      <c r="I144" s="113">
        <v>1966.0560069999999</v>
      </c>
      <c r="J144" s="113">
        <v>802.96891300000004</v>
      </c>
      <c r="K144" s="113">
        <v>5752.157897</v>
      </c>
      <c r="L144" s="113">
        <v>107.110961</v>
      </c>
      <c r="M144" s="113">
        <v>343.49123200000002</v>
      </c>
      <c r="N144" s="113">
        <v>7053.8934049999998</v>
      </c>
      <c r="O144" s="113">
        <v>70958.332186</v>
      </c>
      <c r="P144" s="113">
        <v>137.34899999999999</v>
      </c>
      <c r="Q144" s="113">
        <v>21.373263999999999</v>
      </c>
      <c r="R144" s="135">
        <f>SUM(B144:Q144)</f>
        <v>358926.10772299999</v>
      </c>
    </row>
    <row r="145" spans="1:18" ht="65.25" thickTop="1" thickBot="1">
      <c r="A145" s="73" t="s">
        <v>516</v>
      </c>
      <c r="B145" s="114">
        <v>20.076254052717509</v>
      </c>
      <c r="C145" s="114">
        <v>36.498952313076686</v>
      </c>
      <c r="D145" s="114">
        <v>3.6791498787241315</v>
      </c>
      <c r="E145" s="114">
        <v>1.1067132491976861</v>
      </c>
      <c r="F145" s="114">
        <v>5.2566121090196134</v>
      </c>
      <c r="G145" s="114">
        <v>4.8828369508092333</v>
      </c>
      <c r="H145" s="114">
        <v>4.2207424553500177</v>
      </c>
      <c r="I145" s="114">
        <v>0.54776065733209267</v>
      </c>
      <c r="J145" s="114">
        <v>0.22371426756720875</v>
      </c>
      <c r="K145" s="114">
        <v>1.6026022552361134</v>
      </c>
      <c r="L145" s="114">
        <v>2.9842064618677035E-2</v>
      </c>
      <c r="M145" s="114">
        <v>9.5699706599523329E-2</v>
      </c>
      <c r="N145" s="114">
        <v>1.9652773240011336</v>
      </c>
      <c r="O145" s="114">
        <v>19.769621283933418</v>
      </c>
      <c r="P145" s="114">
        <v>3.8266650724109105E-2</v>
      </c>
      <c r="Q145" s="114">
        <v>5.9547810928523327E-3</v>
      </c>
      <c r="R145" s="135">
        <f>SUM(B145:Q145)</f>
        <v>100</v>
      </c>
    </row>
    <row r="146" spans="1:18" ht="78" thickTop="1" thickBot="1">
      <c r="A146" s="73" t="s">
        <v>517</v>
      </c>
      <c r="B146" s="113">
        <v>68759.603025000004</v>
      </c>
      <c r="C146" s="113">
        <v>132830.041673</v>
      </c>
      <c r="D146" s="113">
        <v>10364.892796</v>
      </c>
      <c r="E146" s="113">
        <v>3207.4870550000001</v>
      </c>
      <c r="F146" s="113">
        <v>18896.210245999999</v>
      </c>
      <c r="G146" s="113">
        <v>16089.497866</v>
      </c>
      <c r="H146" s="113">
        <v>19170.236213</v>
      </c>
      <c r="I146" s="113">
        <v>2033.292884</v>
      </c>
      <c r="J146" s="113">
        <v>1094.2454379999999</v>
      </c>
      <c r="K146" s="113">
        <v>5533.6483319999998</v>
      </c>
      <c r="L146" s="113">
        <v>351.49721299999999</v>
      </c>
      <c r="M146" s="113">
        <v>245.72531599999999</v>
      </c>
      <c r="N146" s="113">
        <v>6997.3853689999996</v>
      </c>
      <c r="O146" s="113">
        <v>73346.363308</v>
      </c>
      <c r="P146" s="113">
        <v>0</v>
      </c>
      <c r="Q146" s="113">
        <v>5.9809900000000003</v>
      </c>
      <c r="R146" s="135">
        <f>SUM(B146:Q146)</f>
        <v>358926.10772400006</v>
      </c>
    </row>
    <row r="147" spans="1:18" ht="65.25" thickTop="1" thickBot="1">
      <c r="A147" s="73" t="s">
        <v>518</v>
      </c>
      <c r="B147" s="114">
        <v>19.157035820273464</v>
      </c>
      <c r="C147" s="114">
        <v>37.007628816776133</v>
      </c>
      <c r="D147" s="114">
        <v>2.8877511479243498</v>
      </c>
      <c r="E147" s="114">
        <v>0.89363436818210795</v>
      </c>
      <c r="F147" s="114">
        <v>5.2646519267777627</v>
      </c>
      <c r="G147" s="114">
        <v>4.4826769409519196</v>
      </c>
      <c r="H147" s="114">
        <v>5.3409979938659546</v>
      </c>
      <c r="I147" s="114">
        <v>0.56649344816218317</v>
      </c>
      <c r="J147" s="114">
        <v>0.30486649325644238</v>
      </c>
      <c r="K147" s="114">
        <v>1.541723550590852</v>
      </c>
      <c r="L147" s="114">
        <v>9.7930243979434187E-2</v>
      </c>
      <c r="M147" s="114">
        <v>6.8461254478861436E-2</v>
      </c>
      <c r="N147" s="114">
        <v>1.9495336835125716</v>
      </c>
      <c r="O147" s="114">
        <v>20.434947954357348</v>
      </c>
      <c r="P147" s="114">
        <v>0</v>
      </c>
      <c r="Q147" s="114">
        <v>1.6663569105981962E-3</v>
      </c>
      <c r="R147" s="135">
        <f>SUM(B147:Q147)</f>
        <v>99.999999999999957</v>
      </c>
    </row>
    <row r="148" spans="1:18" ht="78" thickTop="1" thickBot="1">
      <c r="A148" s="83" t="s">
        <v>581</v>
      </c>
      <c r="B148" s="99">
        <v>122031.68453499999</v>
      </c>
      <c r="C148" s="99">
        <v>220534.22225300001</v>
      </c>
      <c r="D148" s="99">
        <v>17624.354681000001</v>
      </c>
      <c r="E148" s="99">
        <v>5981.2724230000003</v>
      </c>
      <c r="F148" s="99">
        <v>27259.316663000001</v>
      </c>
      <c r="G148" s="99">
        <v>25182.848747</v>
      </c>
      <c r="H148" s="99">
        <v>14967.237472000001</v>
      </c>
      <c r="I148" s="99">
        <v>3285.8548470000001</v>
      </c>
      <c r="J148" s="99">
        <v>1450.429948</v>
      </c>
      <c r="K148" s="99">
        <v>6122.0942770000001</v>
      </c>
      <c r="L148" s="99">
        <v>70.518401999999995</v>
      </c>
      <c r="M148" s="99">
        <v>632.549353</v>
      </c>
      <c r="N148" s="99">
        <v>12986.88034</v>
      </c>
      <c r="O148" s="99">
        <v>117744.431574</v>
      </c>
      <c r="P148" s="99">
        <v>0</v>
      </c>
      <c r="Q148" s="99">
        <v>14.377777999999999</v>
      </c>
      <c r="R148" s="135">
        <f t="shared" ref="R148:R151" si="65">SUM(B148:Q148)</f>
        <v>575888.07329299999</v>
      </c>
    </row>
    <row r="149" spans="1:18" ht="65.25" thickTop="1" thickBot="1">
      <c r="A149" s="83" t="s">
        <v>582</v>
      </c>
      <c r="B149" s="99">
        <v>21.190173958145646</v>
      </c>
      <c r="C149" s="99">
        <v>38.294632669150062</v>
      </c>
      <c r="D149" s="99">
        <v>3.0603784829614091</v>
      </c>
      <c r="E149" s="99">
        <v>1.0386171723957291</v>
      </c>
      <c r="F149" s="99">
        <v>4.7334400428068983</v>
      </c>
      <c r="G149" s="99">
        <v>4.3728720761660025</v>
      </c>
      <c r="H149" s="99">
        <v>2.5989837550229971</v>
      </c>
      <c r="I149" s="99">
        <v>0.57057178284854404</v>
      </c>
      <c r="J149" s="99">
        <v>0.25185969553185228</v>
      </c>
      <c r="K149" s="99">
        <v>1.0630701625739702</v>
      </c>
      <c r="L149" s="99">
        <v>1.2245157569728255E-2</v>
      </c>
      <c r="M149" s="99">
        <v>0.10983893960210075</v>
      </c>
      <c r="N149" s="99">
        <v>2.2551049313696314</v>
      </c>
      <c r="O149" s="99">
        <v>20.44571454670395</v>
      </c>
      <c r="P149" s="99">
        <v>0</v>
      </c>
      <c r="Q149" s="99">
        <v>2.4966271514855428E-3</v>
      </c>
      <c r="R149" s="135">
        <f t="shared" si="65"/>
        <v>100.00000000000001</v>
      </c>
    </row>
    <row r="150" spans="1:18" ht="78" thickTop="1" thickBot="1">
      <c r="A150" s="83" t="s">
        <v>583</v>
      </c>
      <c r="B150" s="99">
        <v>115406.29274999999</v>
      </c>
      <c r="C150" s="99">
        <v>225657.09974500001</v>
      </c>
      <c r="D150" s="99">
        <v>14045.259539999999</v>
      </c>
      <c r="E150" s="99">
        <v>5365.7032509999999</v>
      </c>
      <c r="F150" s="99">
        <v>25931.023235000001</v>
      </c>
      <c r="G150" s="99">
        <v>25445.834393000001</v>
      </c>
      <c r="H150" s="99">
        <v>21325.414606999999</v>
      </c>
      <c r="I150" s="99">
        <v>2478.2605520000002</v>
      </c>
      <c r="J150" s="99">
        <v>1381.9888370000001</v>
      </c>
      <c r="K150" s="99">
        <v>5679.9839620000002</v>
      </c>
      <c r="L150" s="99">
        <v>55.447960000000002</v>
      </c>
      <c r="M150" s="99">
        <v>258.35154</v>
      </c>
      <c r="N150" s="99">
        <v>13104.429629</v>
      </c>
      <c r="O150" s="99">
        <v>119739.44321</v>
      </c>
      <c r="P150" s="99">
        <v>0</v>
      </c>
      <c r="Q150" s="99">
        <v>13.540079</v>
      </c>
      <c r="R150" s="135">
        <f t="shared" si="65"/>
        <v>575888.07329000009</v>
      </c>
    </row>
    <row r="151" spans="1:18" ht="65.25" thickTop="1" thickBot="1">
      <c r="A151" s="73" t="s">
        <v>584</v>
      </c>
      <c r="B151" s="114">
        <v>20.039708773736805</v>
      </c>
      <c r="C151" s="114">
        <v>39.18419397988918</v>
      </c>
      <c r="D151" s="114">
        <v>2.4388870322944203</v>
      </c>
      <c r="E151" s="114">
        <v>0.9317267538371109</v>
      </c>
      <c r="F151" s="114">
        <v>4.5027887253955869</v>
      </c>
      <c r="G151" s="114">
        <v>4.4185381801067853</v>
      </c>
      <c r="H151" s="114">
        <v>3.7030484908585968</v>
      </c>
      <c r="I151" s="114">
        <v>0.43033718997545933</v>
      </c>
      <c r="J151" s="114">
        <v>0.2399752488543154</v>
      </c>
      <c r="K151" s="114">
        <v>0.98629998179172729</v>
      </c>
      <c r="L151" s="114">
        <v>9.6282528796317081E-3</v>
      </c>
      <c r="M151" s="114">
        <v>4.4861415261486383E-2</v>
      </c>
      <c r="N151" s="114">
        <v>2.2755167604245554</v>
      </c>
      <c r="O151" s="114">
        <v>20.792138049662782</v>
      </c>
      <c r="P151" s="114">
        <v>0</v>
      </c>
      <c r="Q151" s="114">
        <v>2.3511650315393177E-3</v>
      </c>
      <c r="R151" s="135">
        <f t="shared" si="65"/>
        <v>99.999999999999972</v>
      </c>
    </row>
    <row r="152" spans="1:18" ht="78" thickTop="1" thickBot="1">
      <c r="A152" s="83" t="s">
        <v>590</v>
      </c>
      <c r="B152" s="81">
        <v>71776.659920000006</v>
      </c>
      <c r="C152" s="81">
        <v>140965.307848</v>
      </c>
      <c r="D152" s="81">
        <v>12049.991117</v>
      </c>
      <c r="E152" s="81">
        <v>4653.6636079999998</v>
      </c>
      <c r="F152" s="81">
        <v>31838.638467000001</v>
      </c>
      <c r="G152" s="81">
        <v>26025.168751000001</v>
      </c>
      <c r="H152" s="81">
        <v>15604.481641</v>
      </c>
      <c r="I152" s="81">
        <v>2165.080935</v>
      </c>
      <c r="J152" s="81">
        <v>1247.4699479999999</v>
      </c>
      <c r="K152" s="81">
        <v>7141.7275689999997</v>
      </c>
      <c r="L152" s="81">
        <v>44.119821000000002</v>
      </c>
      <c r="M152" s="81">
        <v>212.24524700000001</v>
      </c>
      <c r="N152" s="81">
        <v>8439.2899720000005</v>
      </c>
      <c r="O152" s="81">
        <v>125306.687441</v>
      </c>
      <c r="P152" s="81">
        <v>6.9999999999999999E-6</v>
      </c>
      <c r="Q152" s="81">
        <v>7.4147369999999997</v>
      </c>
      <c r="R152" s="82">
        <f t="shared" ref="R152:R159" si="66">SUM(B152:Q152)</f>
        <v>447477.94702899997</v>
      </c>
    </row>
    <row r="153" spans="1:18" ht="65.25" thickTop="1" thickBot="1">
      <c r="A153" s="83" t="s">
        <v>591</v>
      </c>
      <c r="B153" s="99">
        <v>16.040267547609073</v>
      </c>
      <c r="C153" s="99">
        <v>31.502179891529796</v>
      </c>
      <c r="D153" s="99">
        <v>2.6928681507111385</v>
      </c>
      <c r="E153" s="99">
        <v>1.0399760790219248</v>
      </c>
      <c r="F153" s="99">
        <v>7.1151301820325488</v>
      </c>
      <c r="G153" s="99">
        <v>5.8159667808866056</v>
      </c>
      <c r="H153" s="99">
        <v>3.4872068544617489</v>
      </c>
      <c r="I153" s="99">
        <v>0.48384081257521422</v>
      </c>
      <c r="J153" s="99">
        <v>0.27877797247495512</v>
      </c>
      <c r="K153" s="99">
        <v>1.5959954264600131</v>
      </c>
      <c r="L153" s="99">
        <v>9.8596637650929207E-3</v>
      </c>
      <c r="M153" s="99">
        <v>4.7431442914491806E-2</v>
      </c>
      <c r="N153" s="99">
        <v>1.8859677952918361</v>
      </c>
      <c r="O153" s="99">
        <v>28.002874392574071</v>
      </c>
      <c r="P153" s="99">
        <v>1.5643229004861658E-9</v>
      </c>
      <c r="Q153" s="99">
        <v>1.65700612716887E-3</v>
      </c>
      <c r="R153" s="82">
        <f t="shared" si="66"/>
        <v>99.999999999999986</v>
      </c>
    </row>
    <row r="154" spans="1:18" ht="78" thickTop="1" thickBot="1">
      <c r="A154" s="83" t="s">
        <v>592</v>
      </c>
      <c r="B154" s="81">
        <v>67703.456407000005</v>
      </c>
      <c r="C154" s="81">
        <v>128404.585659</v>
      </c>
      <c r="D154" s="81">
        <v>12678.42611</v>
      </c>
      <c r="E154" s="81">
        <v>3987.1620469999998</v>
      </c>
      <c r="F154" s="81">
        <v>28169.422353999998</v>
      </c>
      <c r="G154" s="81">
        <v>24394.574798000001</v>
      </c>
      <c r="H154" s="81">
        <v>50454.596743000002</v>
      </c>
      <c r="I154" s="81">
        <v>2316.1473409999999</v>
      </c>
      <c r="J154" s="81">
        <v>984.467896</v>
      </c>
      <c r="K154" s="81">
        <v>4082.3200630000001</v>
      </c>
      <c r="L154" s="81">
        <v>42.312243000000002</v>
      </c>
      <c r="M154" s="81">
        <v>193.98993200000001</v>
      </c>
      <c r="N154" s="81">
        <v>7762.75018</v>
      </c>
      <c r="O154" s="81">
        <v>115796.541138</v>
      </c>
      <c r="P154" s="81">
        <v>499.00799999999998</v>
      </c>
      <c r="Q154" s="81">
        <v>8.1861110000000004</v>
      </c>
      <c r="R154" s="82">
        <f t="shared" si="66"/>
        <v>447477.94702200004</v>
      </c>
    </row>
    <row r="155" spans="1:18" ht="65.25" thickTop="1" thickBot="1">
      <c r="A155" s="73" t="s">
        <v>593</v>
      </c>
      <c r="B155" s="99">
        <v>15.130009614456242</v>
      </c>
      <c r="C155" s="99">
        <v>28.695176268136191</v>
      </c>
      <c r="D155" s="99">
        <v>2.8333074723292837</v>
      </c>
      <c r="E155" s="99">
        <v>0.8910298425955665</v>
      </c>
      <c r="F155" s="99">
        <v>6.2951532117883486</v>
      </c>
      <c r="G155" s="99">
        <v>5.4515702863901474</v>
      </c>
      <c r="H155" s="99">
        <v>11.275325874443467</v>
      </c>
      <c r="I155" s="99">
        <v>0.51760033235473113</v>
      </c>
      <c r="J155" s="99">
        <v>0.22000366779004621</v>
      </c>
      <c r="K155" s="99">
        <v>0.91229525168070347</v>
      </c>
      <c r="L155" s="99">
        <v>9.4557158138386978E-3</v>
      </c>
      <c r="M155" s="99">
        <v>4.3351841870871592E-2</v>
      </c>
      <c r="N155" s="99">
        <v>1.7347782682167234</v>
      </c>
      <c r="O155" s="99">
        <v>25.877597300299342</v>
      </c>
      <c r="P155" s="99">
        <v>0.11151566313400167</v>
      </c>
      <c r="Q155" s="99">
        <v>1.8293887004888609E-3</v>
      </c>
      <c r="R155" s="135">
        <f t="shared" si="66"/>
        <v>100</v>
      </c>
    </row>
    <row r="156" spans="1:18" ht="78" thickTop="1" thickBot="1">
      <c r="A156" s="83" t="s">
        <v>599</v>
      </c>
      <c r="B156" s="81">
        <v>85743.604909000001</v>
      </c>
      <c r="C156" s="81">
        <v>156261.723417</v>
      </c>
      <c r="D156" s="81">
        <v>13886.849851000001</v>
      </c>
      <c r="E156" s="81">
        <v>4410.2048779999996</v>
      </c>
      <c r="F156" s="81">
        <v>26786.286575999999</v>
      </c>
      <c r="G156" s="81">
        <v>30052.272976</v>
      </c>
      <c r="H156" s="81">
        <v>7096.8525360000003</v>
      </c>
      <c r="I156" s="81">
        <v>2437.352656</v>
      </c>
      <c r="J156" s="81">
        <v>1256.3725159999999</v>
      </c>
      <c r="K156" s="81">
        <v>5289.251929</v>
      </c>
      <c r="L156" s="81">
        <v>86.016675000000006</v>
      </c>
      <c r="M156" s="81">
        <v>247.926098</v>
      </c>
      <c r="N156" s="81">
        <v>10088.107939</v>
      </c>
      <c r="O156" s="81">
        <v>102100.950687</v>
      </c>
      <c r="P156" s="81">
        <v>9.5685000000000006E-2</v>
      </c>
      <c r="Q156" s="81">
        <v>12.276462</v>
      </c>
      <c r="R156" s="82">
        <f t="shared" si="66"/>
        <v>445756.1457900001</v>
      </c>
    </row>
    <row r="157" spans="1:18" ht="65.25" thickTop="1" thickBot="1">
      <c r="A157" s="83" t="s">
        <v>600</v>
      </c>
      <c r="B157" s="99">
        <v>19.235540714091382</v>
      </c>
      <c r="C157" s="99">
        <v>35.055427702530508</v>
      </c>
      <c r="D157" s="99">
        <v>3.1153468061306833</v>
      </c>
      <c r="E157" s="99">
        <v>0.98937612406530639</v>
      </c>
      <c r="F157" s="99">
        <v>6.0091794199556068</v>
      </c>
      <c r="G157" s="99">
        <v>6.7418639675150782</v>
      </c>
      <c r="H157" s="99">
        <v>1.5920930318128232</v>
      </c>
      <c r="I157" s="99">
        <v>0.54679058920889445</v>
      </c>
      <c r="J157" s="99">
        <v>0.28185197845637527</v>
      </c>
      <c r="K157" s="99">
        <v>1.1865796981051195</v>
      </c>
      <c r="L157" s="99">
        <v>1.9296800686293459E-2</v>
      </c>
      <c r="M157" s="99">
        <v>5.5619221482770161E-2</v>
      </c>
      <c r="N157" s="99">
        <v>2.2631450029973568</v>
      </c>
      <c r="O157" s="99">
        <v>22.905113401420319</v>
      </c>
      <c r="P157" s="99">
        <v>2.1465772464094777E-5</v>
      </c>
      <c r="Q157" s="99">
        <v>2.7540757689931117E-3</v>
      </c>
      <c r="R157" s="135">
        <f t="shared" si="66"/>
        <v>99.999999999999972</v>
      </c>
    </row>
    <row r="158" spans="1:18" ht="78" thickTop="1" thickBot="1">
      <c r="A158" s="83" t="s">
        <v>601</v>
      </c>
      <c r="B158" s="81">
        <v>82671.634477</v>
      </c>
      <c r="C158" s="81">
        <v>160444.123036</v>
      </c>
      <c r="D158" s="81">
        <v>10801.576187000001</v>
      </c>
      <c r="E158" s="81">
        <v>4442.869635</v>
      </c>
      <c r="F158" s="81">
        <v>20285.920994</v>
      </c>
      <c r="G158" s="81">
        <v>33978.477959999997</v>
      </c>
      <c r="H158" s="81">
        <v>6527.6529680000003</v>
      </c>
      <c r="I158" s="81">
        <v>2471.4011909999999</v>
      </c>
      <c r="J158" s="81">
        <v>1430.288828</v>
      </c>
      <c r="K158" s="81">
        <v>5221.9505740000004</v>
      </c>
      <c r="L158" s="81">
        <v>58.964257000000003</v>
      </c>
      <c r="M158" s="81">
        <v>220.43006299999999</v>
      </c>
      <c r="N158" s="81">
        <v>10239.461992</v>
      </c>
      <c r="O158" s="81">
        <v>106940.488197</v>
      </c>
      <c r="P158" s="81">
        <v>11.678381999999999</v>
      </c>
      <c r="Q158" s="81">
        <v>9.2270479999999999</v>
      </c>
      <c r="R158" s="82">
        <f t="shared" si="66"/>
        <v>445756.14578900003</v>
      </c>
    </row>
    <row r="159" spans="1:18" ht="65.25" thickTop="1" thickBot="1">
      <c r="A159" s="73" t="s">
        <v>602</v>
      </c>
      <c r="B159" s="114">
        <v>18.546381302420194</v>
      </c>
      <c r="C159" s="114">
        <v>35.993698472066988</v>
      </c>
      <c r="D159" s="114">
        <v>2.4232029752233544</v>
      </c>
      <c r="E159" s="114">
        <v>0.9967040672285078</v>
      </c>
      <c r="F159" s="114">
        <v>4.550901021923857</v>
      </c>
      <c r="G159" s="114">
        <v>7.6226605692350473</v>
      </c>
      <c r="H159" s="114">
        <v>1.4643999930603053</v>
      </c>
      <c r="I159" s="114">
        <v>0.55442896622895799</v>
      </c>
      <c r="J159" s="114">
        <v>0.32086799958043233</v>
      </c>
      <c r="K159" s="114">
        <v>1.1714814531063866</v>
      </c>
      <c r="L159" s="114">
        <v>1.3227917900185477E-2</v>
      </c>
      <c r="M159" s="114">
        <v>4.9450818588229001E-2</v>
      </c>
      <c r="N159" s="114">
        <v>2.2970994542040213</v>
      </c>
      <c r="O159" s="114">
        <v>23.990805108858911</v>
      </c>
      <c r="P159" s="114">
        <v>2.6199037546255155E-3</v>
      </c>
      <c r="Q159" s="114">
        <v>2.0699766199898115E-3</v>
      </c>
      <c r="R159" s="135">
        <f t="shared" si="66"/>
        <v>99.999999999999972</v>
      </c>
    </row>
    <row r="160" spans="1:18" ht="78" thickTop="1" thickBot="1">
      <c r="A160" s="73" t="s">
        <v>607</v>
      </c>
      <c r="B160" s="99">
        <v>74745</v>
      </c>
      <c r="C160" s="99">
        <v>124077</v>
      </c>
      <c r="D160" s="99">
        <v>12795</v>
      </c>
      <c r="E160" s="99">
        <v>4490</v>
      </c>
      <c r="F160" s="99">
        <v>19694</v>
      </c>
      <c r="G160" s="99">
        <v>28774</v>
      </c>
      <c r="H160" s="99">
        <v>10654</v>
      </c>
      <c r="I160" s="99">
        <v>2073</v>
      </c>
      <c r="J160" s="99">
        <v>1038</v>
      </c>
      <c r="K160" s="99">
        <v>4448</v>
      </c>
      <c r="L160" s="99">
        <v>34</v>
      </c>
      <c r="M160" s="99">
        <v>411</v>
      </c>
      <c r="N160" s="99">
        <v>8114</v>
      </c>
      <c r="O160" s="99">
        <v>101634</v>
      </c>
      <c r="P160" s="99">
        <v>219</v>
      </c>
      <c r="Q160" s="99">
        <v>9</v>
      </c>
      <c r="R160" s="82">
        <f t="shared" ref="R160:R163" si="67">SUM(B160:Q160)</f>
        <v>393209</v>
      </c>
    </row>
    <row r="161" spans="1:18" ht="65.25" thickTop="1" thickBot="1">
      <c r="A161" s="73" t="s">
        <v>608</v>
      </c>
      <c r="B161" s="99">
        <v>19.010000000000002</v>
      </c>
      <c r="C161" s="99">
        <v>31.55</v>
      </c>
      <c r="D161" s="99">
        <v>3.25</v>
      </c>
      <c r="E161" s="99">
        <v>1.1399999999999999</v>
      </c>
      <c r="F161" s="99">
        <v>5.01</v>
      </c>
      <c r="G161" s="99">
        <v>7.32</v>
      </c>
      <c r="H161" s="99">
        <v>2.71</v>
      </c>
      <c r="I161" s="99">
        <v>0.53</v>
      </c>
      <c r="J161" s="99">
        <v>0.26</v>
      </c>
      <c r="K161" s="99">
        <v>1.1299999999999999</v>
      </c>
      <c r="L161" s="99">
        <v>0.01</v>
      </c>
      <c r="M161" s="99">
        <v>0.1</v>
      </c>
      <c r="N161" s="99">
        <v>2.06</v>
      </c>
      <c r="O161" s="99">
        <v>25.85</v>
      </c>
      <c r="P161" s="99">
        <v>0.06</v>
      </c>
      <c r="Q161" s="99">
        <v>0</v>
      </c>
      <c r="R161" s="82">
        <f t="shared" si="67"/>
        <v>99.990000000000009</v>
      </c>
    </row>
    <row r="162" spans="1:18" ht="78" thickTop="1" thickBot="1">
      <c r="A162" s="73" t="s">
        <v>609</v>
      </c>
      <c r="B162" s="99">
        <v>73293</v>
      </c>
      <c r="C162" s="99">
        <v>129746</v>
      </c>
      <c r="D162" s="99">
        <v>11326</v>
      </c>
      <c r="E162" s="99">
        <v>3762</v>
      </c>
      <c r="F162" s="99">
        <v>18654</v>
      </c>
      <c r="G162" s="99">
        <v>25056</v>
      </c>
      <c r="H162" s="99">
        <v>9004</v>
      </c>
      <c r="I162" s="99">
        <v>2291</v>
      </c>
      <c r="J162" s="99">
        <v>1010</v>
      </c>
      <c r="K162" s="99">
        <v>4011</v>
      </c>
      <c r="L162" s="99">
        <v>50</v>
      </c>
      <c r="M162" s="99">
        <v>206</v>
      </c>
      <c r="N162" s="99">
        <v>8435</v>
      </c>
      <c r="O162" s="99">
        <v>106343</v>
      </c>
      <c r="P162" s="99">
        <v>12</v>
      </c>
      <c r="Q162" s="99">
        <v>10</v>
      </c>
      <c r="R162" s="82">
        <f t="shared" si="67"/>
        <v>393209</v>
      </c>
    </row>
    <row r="163" spans="1:18" ht="65.25" thickTop="1" thickBot="1">
      <c r="A163" s="73" t="s">
        <v>606</v>
      </c>
      <c r="B163" s="114">
        <v>18.64</v>
      </c>
      <c r="C163" s="114">
        <v>33</v>
      </c>
      <c r="D163" s="114">
        <v>2.88</v>
      </c>
      <c r="E163" s="114">
        <v>0.96</v>
      </c>
      <c r="F163" s="114">
        <v>4.74</v>
      </c>
      <c r="G163" s="114">
        <v>6.37</v>
      </c>
      <c r="H163" s="114">
        <v>2.29</v>
      </c>
      <c r="I163" s="114">
        <v>0.57999999999999996</v>
      </c>
      <c r="J163" s="114">
        <v>0.26</v>
      </c>
      <c r="K163" s="114">
        <v>1.02</v>
      </c>
      <c r="L163" s="114">
        <v>0.01</v>
      </c>
      <c r="M163" s="114">
        <v>0.05</v>
      </c>
      <c r="N163" s="114">
        <v>2.15</v>
      </c>
      <c r="O163" s="114">
        <v>27.04</v>
      </c>
      <c r="P163" s="114">
        <v>0</v>
      </c>
      <c r="Q163" s="114">
        <v>0</v>
      </c>
      <c r="R163" s="135">
        <f t="shared" si="67"/>
        <v>99.990000000000009</v>
      </c>
    </row>
    <row r="164" spans="1:18" ht="78" thickTop="1" thickBot="1">
      <c r="A164" s="83" t="s">
        <v>619</v>
      </c>
      <c r="B164" s="99">
        <v>72153.39</v>
      </c>
      <c r="C164" s="99">
        <v>108347</v>
      </c>
      <c r="D164" s="99">
        <v>14201</v>
      </c>
      <c r="E164" s="99">
        <v>3826</v>
      </c>
      <c r="F164" s="99">
        <v>16411</v>
      </c>
      <c r="G164" s="99">
        <v>26473</v>
      </c>
      <c r="H164" s="99">
        <v>3199</v>
      </c>
      <c r="I164" s="99">
        <v>2117</v>
      </c>
      <c r="J164" s="99">
        <v>1369</v>
      </c>
      <c r="K164" s="99">
        <v>5825</v>
      </c>
      <c r="L164" s="99">
        <v>76</v>
      </c>
      <c r="M164" s="99">
        <v>206</v>
      </c>
      <c r="N164" s="99">
        <v>7179</v>
      </c>
      <c r="O164" s="99">
        <v>101186</v>
      </c>
      <c r="P164" s="99">
        <v>12</v>
      </c>
      <c r="Q164" s="99">
        <v>7</v>
      </c>
      <c r="R164" s="82">
        <f t="shared" ref="R164:R167" si="68">SUM(B164:Q164)</f>
        <v>362587.39</v>
      </c>
    </row>
    <row r="165" spans="1:18" ht="65.25" thickTop="1" thickBot="1">
      <c r="A165" s="83" t="s">
        <v>620</v>
      </c>
      <c r="B165" s="99">
        <v>19.899999999999999</v>
      </c>
      <c r="C165" s="99">
        <v>29.88</v>
      </c>
      <c r="D165" s="99">
        <v>3.92</v>
      </c>
      <c r="E165" s="99">
        <v>1.06</v>
      </c>
      <c r="F165" s="99">
        <v>4.53</v>
      </c>
      <c r="G165" s="99">
        <v>7.3</v>
      </c>
      <c r="H165" s="99">
        <v>0.88</v>
      </c>
      <c r="I165" s="99">
        <v>0.57999999999999996</v>
      </c>
      <c r="J165" s="99">
        <v>0.38</v>
      </c>
      <c r="K165" s="99">
        <v>1.61</v>
      </c>
      <c r="L165" s="99">
        <v>0.02</v>
      </c>
      <c r="M165" s="99">
        <v>0.06</v>
      </c>
      <c r="N165" s="99">
        <v>1.98</v>
      </c>
      <c r="O165" s="99">
        <v>27.91</v>
      </c>
      <c r="P165" s="99">
        <v>0</v>
      </c>
      <c r="Q165" s="99">
        <v>0</v>
      </c>
      <c r="R165" s="82">
        <f t="shared" si="68"/>
        <v>100.00999999999999</v>
      </c>
    </row>
    <row r="166" spans="1:18" ht="78" thickTop="1" thickBot="1">
      <c r="A166" s="83" t="s">
        <v>621</v>
      </c>
      <c r="B166" s="99">
        <v>68780.800000000003</v>
      </c>
      <c r="C166" s="99">
        <v>112584</v>
      </c>
      <c r="D166" s="99">
        <v>12729</v>
      </c>
      <c r="E166" s="99">
        <v>3385</v>
      </c>
      <c r="F166" s="99">
        <v>16344</v>
      </c>
      <c r="G166" s="99">
        <v>26510</v>
      </c>
      <c r="H166" s="99">
        <v>3282</v>
      </c>
      <c r="I166" s="99">
        <v>2166</v>
      </c>
      <c r="J166" s="99">
        <v>952</v>
      </c>
      <c r="K166" s="99">
        <v>4768</v>
      </c>
      <c r="L166" s="99">
        <v>98</v>
      </c>
      <c r="M166" s="99">
        <v>170</v>
      </c>
      <c r="N166" s="99">
        <v>7361</v>
      </c>
      <c r="O166" s="99">
        <v>103434</v>
      </c>
      <c r="P166" s="99">
        <v>0</v>
      </c>
      <c r="Q166" s="99">
        <v>23</v>
      </c>
      <c r="R166" s="82">
        <f t="shared" si="68"/>
        <v>362586.8</v>
      </c>
    </row>
    <row r="167" spans="1:18" ht="65.25" thickTop="1" thickBot="1">
      <c r="A167" s="73" t="s">
        <v>622</v>
      </c>
      <c r="B167" s="114">
        <v>18.97</v>
      </c>
      <c r="C167" s="114">
        <v>31.05</v>
      </c>
      <c r="D167" s="114">
        <v>3.51</v>
      </c>
      <c r="E167" s="114">
        <v>0.93</v>
      </c>
      <c r="F167" s="114">
        <v>4.51</v>
      </c>
      <c r="G167" s="114">
        <v>7.31</v>
      </c>
      <c r="H167" s="114">
        <v>0.91</v>
      </c>
      <c r="I167" s="114">
        <v>0.6</v>
      </c>
      <c r="J167" s="114">
        <v>0.26</v>
      </c>
      <c r="K167" s="114">
        <v>1.31</v>
      </c>
      <c r="L167" s="114">
        <v>0.03</v>
      </c>
      <c r="M167" s="114">
        <v>0.05</v>
      </c>
      <c r="N167" s="114">
        <v>2.0299999999999998</v>
      </c>
      <c r="O167" s="114">
        <v>28.53</v>
      </c>
      <c r="P167" s="114">
        <v>0</v>
      </c>
      <c r="Q167" s="114">
        <v>0.01</v>
      </c>
      <c r="R167" s="135">
        <f t="shared" si="68"/>
        <v>100.00999999999999</v>
      </c>
    </row>
    <row r="168" spans="1:18" ht="78" thickTop="1" thickBot="1">
      <c r="A168" s="83" t="s">
        <v>626</v>
      </c>
      <c r="B168" s="99">
        <v>57324</v>
      </c>
      <c r="C168" s="99">
        <v>91113</v>
      </c>
      <c r="D168" s="99">
        <v>12966</v>
      </c>
      <c r="E168" s="99">
        <v>3522</v>
      </c>
      <c r="F168" s="99">
        <v>15419</v>
      </c>
      <c r="G168" s="99">
        <v>25293</v>
      </c>
      <c r="H168" s="99">
        <v>2093</v>
      </c>
      <c r="I168" s="99">
        <v>3999</v>
      </c>
      <c r="J168" s="99">
        <v>902</v>
      </c>
      <c r="K168" s="99">
        <v>3917</v>
      </c>
      <c r="L168" s="99">
        <v>94</v>
      </c>
      <c r="M168" s="99">
        <v>276</v>
      </c>
      <c r="N168" s="99">
        <v>6211</v>
      </c>
      <c r="O168" s="99">
        <v>102367</v>
      </c>
      <c r="P168" s="99">
        <v>0</v>
      </c>
      <c r="Q168" s="99">
        <v>10</v>
      </c>
      <c r="R168" s="82">
        <v>325505</v>
      </c>
    </row>
    <row r="169" spans="1:18" ht="65.25" thickTop="1" thickBot="1">
      <c r="A169" s="83" t="s">
        <v>627</v>
      </c>
      <c r="B169" s="99">
        <v>17.61</v>
      </c>
      <c r="C169" s="99">
        <v>27.99</v>
      </c>
      <c r="D169" s="99">
        <v>3.98</v>
      </c>
      <c r="E169" s="99">
        <v>1.08</v>
      </c>
      <c r="F169" s="99">
        <v>4.74</v>
      </c>
      <c r="G169" s="99">
        <v>7.77</v>
      </c>
      <c r="H169" s="99">
        <v>0.64</v>
      </c>
      <c r="I169" s="99">
        <v>1.23</v>
      </c>
      <c r="J169" s="99">
        <v>0.28000000000000003</v>
      </c>
      <c r="K169" s="99">
        <v>1.2</v>
      </c>
      <c r="L169" s="99">
        <v>0.03</v>
      </c>
      <c r="M169" s="99">
        <v>0.08</v>
      </c>
      <c r="N169" s="99">
        <v>1.91</v>
      </c>
      <c r="O169" s="99">
        <v>31.45</v>
      </c>
      <c r="P169" s="99">
        <v>0</v>
      </c>
      <c r="Q169" s="99">
        <v>0</v>
      </c>
      <c r="R169" s="135">
        <v>100</v>
      </c>
    </row>
    <row r="170" spans="1:18" ht="78" thickTop="1" thickBot="1">
      <c r="A170" s="83" t="s">
        <v>628</v>
      </c>
      <c r="B170" s="99">
        <v>59454</v>
      </c>
      <c r="C170" s="99">
        <v>101143</v>
      </c>
      <c r="D170" s="99">
        <v>10707</v>
      </c>
      <c r="E170" s="99">
        <v>1780</v>
      </c>
      <c r="F170" s="99">
        <v>11082</v>
      </c>
      <c r="G170" s="99">
        <v>17877</v>
      </c>
      <c r="H170" s="99">
        <v>2955</v>
      </c>
      <c r="I170" s="99">
        <v>1498</v>
      </c>
      <c r="J170" s="99">
        <v>1393</v>
      </c>
      <c r="K170" s="99">
        <v>3775</v>
      </c>
      <c r="L170" s="99">
        <v>114</v>
      </c>
      <c r="M170" s="99">
        <v>244</v>
      </c>
      <c r="N170" s="99">
        <v>6548</v>
      </c>
      <c r="O170" s="99">
        <v>106932</v>
      </c>
      <c r="P170" s="99">
        <v>0</v>
      </c>
      <c r="Q170" s="99">
        <v>2</v>
      </c>
      <c r="R170" s="82">
        <v>325505</v>
      </c>
    </row>
    <row r="171" spans="1:18" ht="65.25" thickTop="1" thickBot="1">
      <c r="A171" s="73" t="s">
        <v>629</v>
      </c>
      <c r="B171" s="114">
        <v>18.27</v>
      </c>
      <c r="C171" s="114">
        <v>31.07</v>
      </c>
      <c r="D171" s="114">
        <v>3.29</v>
      </c>
      <c r="E171" s="114">
        <v>0.55000000000000004</v>
      </c>
      <c r="F171" s="114">
        <v>3.4</v>
      </c>
      <c r="G171" s="114">
        <v>5.49</v>
      </c>
      <c r="H171" s="114">
        <v>0.91</v>
      </c>
      <c r="I171" s="114">
        <v>0.46</v>
      </c>
      <c r="J171" s="114">
        <v>0.43</v>
      </c>
      <c r="K171" s="114">
        <v>1.1599999999999999</v>
      </c>
      <c r="L171" s="114">
        <v>0.03</v>
      </c>
      <c r="M171" s="114">
        <v>0.08</v>
      </c>
      <c r="N171" s="114">
        <v>2.0099999999999998</v>
      </c>
      <c r="O171" s="114">
        <v>32.85</v>
      </c>
      <c r="P171" s="114">
        <v>0</v>
      </c>
      <c r="Q171" s="114">
        <v>0</v>
      </c>
      <c r="R171" s="135">
        <v>100</v>
      </c>
    </row>
    <row r="172" spans="1:18" ht="78" thickTop="1" thickBot="1">
      <c r="A172" s="83" t="s">
        <v>699</v>
      </c>
      <c r="B172" s="99">
        <v>53476.834921000001</v>
      </c>
      <c r="C172" s="99">
        <v>92522.289244</v>
      </c>
      <c r="D172" s="99">
        <v>11888.999241</v>
      </c>
      <c r="E172" s="99">
        <v>4551.3889390000004</v>
      </c>
      <c r="F172" s="99">
        <v>21290.938209</v>
      </c>
      <c r="G172" s="99">
        <v>21143.643442000001</v>
      </c>
      <c r="H172" s="99">
        <v>2717.9888529999998</v>
      </c>
      <c r="I172" s="99">
        <v>5078.4548640000003</v>
      </c>
      <c r="J172" s="99">
        <v>1118.3254529999999</v>
      </c>
      <c r="K172" s="99">
        <v>3990.7875060000001</v>
      </c>
      <c r="L172" s="99">
        <v>343.34074399999997</v>
      </c>
      <c r="M172" s="99">
        <v>185.46157299999999</v>
      </c>
      <c r="N172" s="99">
        <v>6270.0227059999997</v>
      </c>
      <c r="O172" s="99">
        <v>101046.70301899999</v>
      </c>
      <c r="P172" s="99">
        <v>0</v>
      </c>
      <c r="Q172" s="99">
        <v>397.91978699999999</v>
      </c>
      <c r="R172" s="82">
        <v>326023.09850099991</v>
      </c>
    </row>
    <row r="173" spans="1:18" ht="65.25" thickTop="1" thickBot="1">
      <c r="A173" s="83" t="s">
        <v>700</v>
      </c>
      <c r="B173" s="99">
        <v>16.402774885238994</v>
      </c>
      <c r="C173" s="99">
        <v>28.379059541916547</v>
      </c>
      <c r="D173" s="99">
        <v>3.6466738999977744</v>
      </c>
      <c r="E173" s="99">
        <v>1.3960326614667891</v>
      </c>
      <c r="F173" s="99">
        <v>6.5304999268126096</v>
      </c>
      <c r="G173" s="99">
        <v>6.4853206840910849</v>
      </c>
      <c r="H173" s="99">
        <v>0.8336798421635957</v>
      </c>
      <c r="I173" s="99">
        <v>1.5576978709023663</v>
      </c>
      <c r="J173" s="99">
        <v>0.34302031302133951</v>
      </c>
      <c r="K173" s="99">
        <v>1.2240812152111242</v>
      </c>
      <c r="L173" s="99">
        <v>0.10531178483322921</v>
      </c>
      <c r="M173" s="99">
        <v>5.6886022448323907E-2</v>
      </c>
      <c r="N173" s="99">
        <v>1.9231835826444579</v>
      </c>
      <c r="O173" s="99">
        <v>30.993725132849775</v>
      </c>
      <c r="P173" s="99">
        <v>0</v>
      </c>
      <c r="Q173" s="99">
        <v>0.12205263640201235</v>
      </c>
      <c r="R173" s="82">
        <v>100.00000000000004</v>
      </c>
    </row>
    <row r="174" spans="1:18" ht="78" thickTop="1" thickBot="1">
      <c r="A174" s="83" t="s">
        <v>701</v>
      </c>
      <c r="B174" s="99">
        <v>51758.842961000002</v>
      </c>
      <c r="C174" s="99">
        <v>94072.904928000004</v>
      </c>
      <c r="D174" s="99">
        <v>8988.4765100000004</v>
      </c>
      <c r="E174" s="99">
        <v>3718.7373710000002</v>
      </c>
      <c r="F174" s="99">
        <v>12380.916494999999</v>
      </c>
      <c r="G174" s="99">
        <v>15485.733174999999</v>
      </c>
      <c r="H174" s="99">
        <v>9921.0869249999996</v>
      </c>
      <c r="I174" s="99">
        <v>5821.4698779999999</v>
      </c>
      <c r="J174" s="99">
        <v>1723.9485219999999</v>
      </c>
      <c r="K174" s="99">
        <v>3791.2945169999998</v>
      </c>
      <c r="L174" s="99">
        <v>394.14324199999999</v>
      </c>
      <c r="M174" s="99">
        <v>225.465069</v>
      </c>
      <c r="N174" s="99">
        <v>6336.3725329999997</v>
      </c>
      <c r="O174" s="99">
        <v>111071.36822400001</v>
      </c>
      <c r="P174" s="99">
        <v>0</v>
      </c>
      <c r="Q174" s="99">
        <v>332.33810899999997</v>
      </c>
      <c r="R174" s="82">
        <v>326023.098459</v>
      </c>
    </row>
    <row r="175" spans="1:18" ht="65.25" thickTop="1" thickBot="1">
      <c r="A175" s="83" t="s">
        <v>702</v>
      </c>
      <c r="B175" s="99">
        <v>15.875820825471079</v>
      </c>
      <c r="C175" s="99">
        <v>28.854674829069026</v>
      </c>
      <c r="D175" s="99">
        <v>2.7570060380646231</v>
      </c>
      <c r="E175" s="99">
        <v>1.1406361661419708</v>
      </c>
      <c r="F175" s="99">
        <v>3.797558072885133</v>
      </c>
      <c r="G175" s="99">
        <v>4.7498883509161711</v>
      </c>
      <c r="H175" s="99">
        <v>3.043062584183021</v>
      </c>
      <c r="I175" s="99">
        <v>1.7856004392069464</v>
      </c>
      <c r="J175" s="99">
        <v>0.52878109868549705</v>
      </c>
      <c r="K175" s="99">
        <v>1.1628913825186484</v>
      </c>
      <c r="L175" s="99">
        <v>0.12089426910638561</v>
      </c>
      <c r="M175" s="99">
        <v>6.9156164107910298E-2</v>
      </c>
      <c r="N175" s="99">
        <v>1.9435348485889106</v>
      </c>
      <c r="O175" s="99">
        <v>34.068557948500114</v>
      </c>
      <c r="P175" s="99">
        <v>0</v>
      </c>
      <c r="Q175" s="99">
        <v>0.10193698255456403</v>
      </c>
      <c r="R175" s="82">
        <v>100</v>
      </c>
    </row>
    <row r="176" spans="1:18" ht="78" thickTop="1" thickBot="1">
      <c r="A176" s="83" t="s">
        <v>703</v>
      </c>
      <c r="B176" s="99">
        <v>44786.404549999999</v>
      </c>
      <c r="C176" s="99">
        <v>71474.983569999997</v>
      </c>
      <c r="D176" s="99">
        <v>12192.568571</v>
      </c>
      <c r="E176" s="99">
        <v>4051.5771800000002</v>
      </c>
      <c r="F176" s="99">
        <v>14710.630551</v>
      </c>
      <c r="G176" s="99">
        <v>14923.643093999999</v>
      </c>
      <c r="H176" s="99">
        <v>3911.6427140000001</v>
      </c>
      <c r="I176" s="99">
        <v>4972.6205479999999</v>
      </c>
      <c r="J176" s="99">
        <v>1372.618346</v>
      </c>
      <c r="K176" s="99">
        <v>3505.2808420000001</v>
      </c>
      <c r="L176" s="99">
        <v>674.24205400000005</v>
      </c>
      <c r="M176" s="99">
        <v>147.827707</v>
      </c>
      <c r="N176" s="99">
        <v>5171.3627939999997</v>
      </c>
      <c r="O176" s="99">
        <v>99191.428272000005</v>
      </c>
      <c r="P176" s="99">
        <v>2631.8249860000001</v>
      </c>
      <c r="Q176" s="99">
        <v>1399.321183</v>
      </c>
      <c r="R176" s="82">
        <v>285117.97696200002</v>
      </c>
    </row>
    <row r="177" spans="1:18" ht="65.25" thickTop="1" thickBot="1">
      <c r="A177" s="83" t="s">
        <v>704</v>
      </c>
      <c r="B177" s="99">
        <v>15.708025508321086</v>
      </c>
      <c r="C177" s="99">
        <v>25.06856436468264</v>
      </c>
      <c r="D177" s="99">
        <v>4.2763240329195389</v>
      </c>
      <c r="E177" s="99">
        <v>1.4210177917122309</v>
      </c>
      <c r="F177" s="99">
        <v>5.1594889623394753</v>
      </c>
      <c r="G177" s="99">
        <v>5.2341992788441383</v>
      </c>
      <c r="H177" s="99">
        <v>1.3719382957467239</v>
      </c>
      <c r="I177" s="99">
        <v>1.7440571797627271</v>
      </c>
      <c r="J177" s="99">
        <v>0.48142118593347766</v>
      </c>
      <c r="K177" s="99">
        <v>1.2294141812275756</v>
      </c>
      <c r="L177" s="99">
        <v>0.23647826811350509</v>
      </c>
      <c r="M177" s="99">
        <v>5.1847908215097292E-2</v>
      </c>
      <c r="N177" s="99">
        <v>1.8137624463746911</v>
      </c>
      <c r="O177" s="99">
        <v>34.789608613567026</v>
      </c>
      <c r="P177" s="99">
        <v>0.92306525672029605</v>
      </c>
      <c r="Q177" s="99">
        <v>0.49078672551976577</v>
      </c>
      <c r="R177" s="82">
        <v>100</v>
      </c>
    </row>
    <row r="178" spans="1:18" ht="78" thickTop="1" thickBot="1">
      <c r="A178" s="83" t="s">
        <v>705</v>
      </c>
      <c r="B178" s="99">
        <v>44364.444525999999</v>
      </c>
      <c r="C178" s="99">
        <v>74484.431863000005</v>
      </c>
      <c r="D178" s="99">
        <v>10084.438416000001</v>
      </c>
      <c r="E178" s="99">
        <v>3486.6000300000001</v>
      </c>
      <c r="F178" s="99">
        <v>12178.483948999999</v>
      </c>
      <c r="G178" s="99">
        <v>13974.405955</v>
      </c>
      <c r="H178" s="99">
        <v>2344.1219040000001</v>
      </c>
      <c r="I178" s="99">
        <v>5182.7129949999999</v>
      </c>
      <c r="J178" s="99">
        <v>1338.4185930000001</v>
      </c>
      <c r="K178" s="99">
        <v>5217.7283960000004</v>
      </c>
      <c r="L178" s="99">
        <v>507.50747899999999</v>
      </c>
      <c r="M178" s="99">
        <v>145.03755000000001</v>
      </c>
      <c r="N178" s="99">
        <v>5283.1436359999998</v>
      </c>
      <c r="O178" s="99">
        <v>105800.238877</v>
      </c>
      <c r="P178" s="99">
        <v>0</v>
      </c>
      <c r="Q178" s="99">
        <v>725.992795</v>
      </c>
      <c r="R178" s="82">
        <v>285117.70696400001</v>
      </c>
    </row>
    <row r="179" spans="1:18" ht="64.5" thickTop="1">
      <c r="A179" s="73" t="s">
        <v>706</v>
      </c>
      <c r="B179" s="114">
        <v>15.560045357548283</v>
      </c>
      <c r="C179" s="114">
        <v>26.124098940093077</v>
      </c>
      <c r="D179" s="114">
        <v>3.5369386641683738</v>
      </c>
      <c r="E179" s="114">
        <v>1.222863380575739</v>
      </c>
      <c r="F179" s="114">
        <v>4.2713881500659303</v>
      </c>
      <c r="G179" s="114">
        <v>4.9012760742932242</v>
      </c>
      <c r="H179" s="114">
        <v>0.8221593562044105</v>
      </c>
      <c r="I179" s="114">
        <v>1.8177450464886027</v>
      </c>
      <c r="J179" s="114">
        <v>0.46942668249257263</v>
      </c>
      <c r="K179" s="114">
        <v>1.8300260799511865</v>
      </c>
      <c r="L179" s="114">
        <v>0.17799928471790064</v>
      </c>
      <c r="M179" s="114">
        <v>5.0869359025222868E-2</v>
      </c>
      <c r="N179" s="114">
        <v>1.8529693200244026</v>
      </c>
      <c r="O179" s="114">
        <v>37.107565153909825</v>
      </c>
      <c r="P179" s="114">
        <v>0</v>
      </c>
      <c r="Q179" s="114">
        <v>0.2546291504412479</v>
      </c>
      <c r="R179" s="135">
        <v>100</v>
      </c>
    </row>
  </sheetData>
  <mergeCells count="1">
    <mergeCell ref="D4:L4"/>
  </mergeCells>
  <pageMargins left="0.7" right="0.7" top="0.75" bottom="0.75" header="0.3" footer="0.3"/>
  <pageSetup paperSize="9" orientation="portrait" r:id="rId1"/>
  <headerFooter>
    <oddFooter>&amp;C&amp;"Calibri"&amp;11&amp;K000000&amp;"Calibri"&amp;11&amp;K000000&amp;"Calibri"&amp;11&amp;K000000&amp;10&amp;K663300Classification: &amp;K000000 Internal  داخلي_x000D_&amp;1#&amp;"Calibri"&amp;10&amp;K000000Internal - داخلي</oddFooter>
    <evenFooter>&amp;C&amp;10&amp;K663300Classification: &amp;K000000 Internal  داخلي</evenFooter>
    <firstFooter>&amp;C&amp;10&amp;K663300Classification: &amp;K000000 Internal  داخلي</firstFooter>
  </headerFooter>
  <drawing r:id="rId2"/>
  <tableParts count="1">
    <tablePart r:id="rId3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19">
    <pageSetUpPr autoPageBreaks="0"/>
  </sheetPr>
  <dimension ref="A1:H188"/>
  <sheetViews>
    <sheetView showGridLines="0" rightToLeft="1" zoomScale="90" zoomScaleNormal="90" workbookViewId="0">
      <pane ySplit="7" topLeftCell="A177" activePane="bottomLeft" state="frozen"/>
      <selection pane="bottomLeft" activeCell="D179" sqref="D179"/>
    </sheetView>
  </sheetViews>
  <sheetFormatPr defaultColWidth="9.140625" defaultRowHeight="15"/>
  <cols>
    <col min="1" max="1" width="23.85546875" customWidth="1"/>
    <col min="2" max="2" width="36.140625" customWidth="1"/>
    <col min="3" max="3" width="45" customWidth="1"/>
    <col min="4" max="4" width="18.42578125" customWidth="1"/>
    <col min="5" max="5" width="22" customWidth="1"/>
    <col min="6" max="6" width="18.42578125" customWidth="1"/>
    <col min="7" max="7" width="12.42578125" bestFit="1" customWidth="1"/>
  </cols>
  <sheetData>
    <row r="1" spans="1:8" ht="16.5">
      <c r="B1" s="1"/>
      <c r="C1" s="1"/>
      <c r="D1" s="1"/>
    </row>
    <row r="2" spans="1:8" ht="18">
      <c r="A2" s="2"/>
      <c r="B2" s="2"/>
      <c r="C2" s="2"/>
      <c r="D2" s="2"/>
      <c r="E2" s="4"/>
      <c r="F2" s="4"/>
      <c r="G2" s="4"/>
      <c r="H2" s="1"/>
    </row>
    <row r="3" spans="1:8" ht="18">
      <c r="A3" s="2"/>
      <c r="B3" s="2"/>
      <c r="C3" s="2"/>
      <c r="D3" s="2"/>
      <c r="E3" s="4"/>
      <c r="F3" s="4"/>
      <c r="G3" s="4"/>
      <c r="H3" s="1"/>
    </row>
    <row r="4" spans="1:8" ht="18">
      <c r="B4" s="2"/>
      <c r="C4" s="2"/>
      <c r="D4" s="2"/>
      <c r="F4" s="1"/>
      <c r="G4" s="1"/>
      <c r="H4" s="1"/>
    </row>
    <row r="5" spans="1:8" ht="69.75" customHeight="1">
      <c r="A5" s="13"/>
      <c r="B5" s="191" t="s">
        <v>686</v>
      </c>
      <c r="C5" s="191"/>
      <c r="D5" s="191"/>
      <c r="E5" s="95"/>
      <c r="F5" s="95"/>
    </row>
    <row r="6" spans="1:8">
      <c r="A6" s="11"/>
      <c r="B6" s="11"/>
      <c r="C6" s="11"/>
      <c r="D6" s="11"/>
      <c r="E6" s="11"/>
      <c r="F6" s="11"/>
    </row>
    <row r="7" spans="1:8" ht="39" customHeight="1" thickBot="1">
      <c r="A7" s="131" t="s">
        <v>271</v>
      </c>
      <c r="B7" s="104" t="s">
        <v>272</v>
      </c>
      <c r="C7" s="104" t="s">
        <v>125</v>
      </c>
      <c r="D7" s="104" t="s">
        <v>104</v>
      </c>
    </row>
    <row r="8" spans="1:8" ht="52.5" thickTop="1" thickBot="1">
      <c r="A8" s="83" t="s">
        <v>273</v>
      </c>
      <c r="B8" s="99">
        <v>148651.88</v>
      </c>
      <c r="C8" s="99">
        <v>895097.62</v>
      </c>
      <c r="D8" s="94">
        <f t="shared" ref="D8:D39" si="0">SUM(B8:C8)</f>
        <v>1043749.5</v>
      </c>
    </row>
    <row r="9" spans="1:8" ht="39.950000000000003" customHeight="1" thickTop="1" thickBot="1">
      <c r="A9" s="83" t="s">
        <v>274</v>
      </c>
      <c r="B9" s="99">
        <f>(B8/$D8)*100</f>
        <v>14.242103109989515</v>
      </c>
      <c r="C9" s="99">
        <f>(C8/$D8)*100</f>
        <v>85.757896890010485</v>
      </c>
      <c r="D9" s="94">
        <f t="shared" si="0"/>
        <v>100</v>
      </c>
      <c r="E9" s="10"/>
    </row>
    <row r="10" spans="1:8" ht="39.75" thickTop="1" thickBot="1">
      <c r="A10" s="83" t="s">
        <v>275</v>
      </c>
      <c r="B10" s="99">
        <v>176556.51</v>
      </c>
      <c r="C10" s="99">
        <v>867192.99</v>
      </c>
      <c r="D10" s="94">
        <f t="shared" si="0"/>
        <v>1043749.5</v>
      </c>
      <c r="E10" s="7"/>
    </row>
    <row r="11" spans="1:8" ht="39.950000000000003" customHeight="1" thickTop="1" thickBot="1">
      <c r="A11" s="83" t="s">
        <v>276</v>
      </c>
      <c r="B11" s="99">
        <f>(B10/$D10)*100</f>
        <v>16.915601875737426</v>
      </c>
      <c r="C11" s="99">
        <f>(C10/$D10)*100</f>
        <v>83.084398124262577</v>
      </c>
      <c r="D11" s="94">
        <f t="shared" si="0"/>
        <v>100</v>
      </c>
      <c r="E11" s="10"/>
    </row>
    <row r="12" spans="1:8" ht="52.5" thickTop="1" thickBot="1">
      <c r="A12" s="83" t="s">
        <v>277</v>
      </c>
      <c r="B12" s="99">
        <v>43484.99</v>
      </c>
      <c r="C12" s="99">
        <v>236615.34</v>
      </c>
      <c r="D12" s="94">
        <f t="shared" si="0"/>
        <v>280100.33</v>
      </c>
      <c r="E12" s="7"/>
    </row>
    <row r="13" spans="1:8" ht="39.950000000000003" customHeight="1" thickTop="1" thickBot="1">
      <c r="A13" s="83" t="s">
        <v>278</v>
      </c>
      <c r="B13" s="99">
        <f>(B12/$D12)*100</f>
        <v>15.524790706244435</v>
      </c>
      <c r="C13" s="99">
        <f>(C12/$D12)*100</f>
        <v>84.475209293755555</v>
      </c>
      <c r="D13" s="94">
        <f t="shared" si="0"/>
        <v>99.999999999999986</v>
      </c>
      <c r="E13" s="10"/>
    </row>
    <row r="14" spans="1:8" ht="39.75" thickTop="1" thickBot="1">
      <c r="A14" s="83" t="s">
        <v>279</v>
      </c>
      <c r="B14" s="99">
        <v>57484.88</v>
      </c>
      <c r="C14" s="99">
        <v>222615.46</v>
      </c>
      <c r="D14" s="94">
        <f t="shared" si="0"/>
        <v>280100.33999999997</v>
      </c>
      <c r="E14" s="7"/>
    </row>
    <row r="15" spans="1:8" ht="39.950000000000003" customHeight="1" thickTop="1" thickBot="1">
      <c r="A15" s="83" t="s">
        <v>280</v>
      </c>
      <c r="B15" s="99">
        <f>(B14/$D14)*100</f>
        <v>20.522959736500145</v>
      </c>
      <c r="C15" s="99">
        <f>(C14/$D14)*100</f>
        <v>79.477040263499859</v>
      </c>
      <c r="D15" s="94">
        <f t="shared" si="0"/>
        <v>100</v>
      </c>
      <c r="E15" s="10"/>
    </row>
    <row r="16" spans="1:8" ht="52.5" thickTop="1" thickBot="1">
      <c r="A16" s="83" t="s">
        <v>483</v>
      </c>
      <c r="B16" s="99">
        <v>46014.02</v>
      </c>
      <c r="C16" s="99">
        <v>290758.19</v>
      </c>
      <c r="D16" s="94">
        <f t="shared" si="0"/>
        <v>336772.21</v>
      </c>
      <c r="E16" s="7"/>
    </row>
    <row r="17" spans="1:5" ht="39.950000000000003" customHeight="1" thickTop="1" thickBot="1">
      <c r="A17" s="83" t="s">
        <v>484</v>
      </c>
      <c r="B17" s="99">
        <f>(B16/$D16)*100</f>
        <v>13.66324733267035</v>
      </c>
      <c r="C17" s="99">
        <f>(C16/$D16)*100</f>
        <v>86.336752667329648</v>
      </c>
      <c r="D17" s="94">
        <f t="shared" si="0"/>
        <v>100</v>
      </c>
      <c r="E17" s="10"/>
    </row>
    <row r="18" spans="1:5" ht="39.75" thickTop="1" thickBot="1">
      <c r="A18" s="83" t="s">
        <v>485</v>
      </c>
      <c r="B18" s="99">
        <v>69451.429999999993</v>
      </c>
      <c r="C18" s="99">
        <v>267320.78000000003</v>
      </c>
      <c r="D18" s="94">
        <f t="shared" si="0"/>
        <v>336772.21</v>
      </c>
      <c r="E18" s="7"/>
    </row>
    <row r="19" spans="1:5" ht="39.950000000000003" customHeight="1" thickTop="1" thickBot="1">
      <c r="A19" s="83" t="s">
        <v>486</v>
      </c>
      <c r="B19" s="99">
        <f>(B18/$D18)*100</f>
        <v>20.622672518020412</v>
      </c>
      <c r="C19" s="99">
        <f>(C18/$D18)*100</f>
        <v>79.377327481979592</v>
      </c>
      <c r="D19" s="94">
        <f t="shared" si="0"/>
        <v>100</v>
      </c>
      <c r="E19" s="10"/>
    </row>
    <row r="20" spans="1:5" ht="52.5" thickTop="1" thickBot="1">
      <c r="A20" s="83" t="s">
        <v>281</v>
      </c>
      <c r="B20" s="99">
        <v>42487.898257850007</v>
      </c>
      <c r="C20" s="99">
        <v>325847.5187903</v>
      </c>
      <c r="D20" s="94">
        <f t="shared" si="0"/>
        <v>368335.41704815003</v>
      </c>
      <c r="E20" s="7"/>
    </row>
    <row r="21" spans="1:5" ht="39.950000000000003" customHeight="1" thickTop="1" thickBot="1">
      <c r="A21" s="83" t="s">
        <v>282</v>
      </c>
      <c r="B21" s="99">
        <f>(B20/$D20)*100</f>
        <v>11.535110741820368</v>
      </c>
      <c r="C21" s="99">
        <f>(C20/$D20)*100</f>
        <v>88.464889258179625</v>
      </c>
      <c r="D21" s="94">
        <f t="shared" si="0"/>
        <v>100</v>
      </c>
      <c r="E21" s="10"/>
    </row>
    <row r="22" spans="1:5" ht="39.75" thickTop="1" thickBot="1">
      <c r="A22" s="83" t="s">
        <v>283</v>
      </c>
      <c r="B22" s="99">
        <v>67147.832528950006</v>
      </c>
      <c r="C22" s="99">
        <v>301187.58451920003</v>
      </c>
      <c r="D22" s="94">
        <f t="shared" si="0"/>
        <v>368335.41704815003</v>
      </c>
      <c r="E22" s="7"/>
    </row>
    <row r="23" spans="1:5" ht="39.950000000000003" customHeight="1" thickTop="1" thickBot="1">
      <c r="A23" s="83" t="s">
        <v>284</v>
      </c>
      <c r="B23" s="99">
        <f>(B22/$D22)*100</f>
        <v>18.230077646910676</v>
      </c>
      <c r="C23" s="99">
        <f>(C22/$D22)*100</f>
        <v>81.769922353089328</v>
      </c>
      <c r="D23" s="94">
        <f t="shared" si="0"/>
        <v>100</v>
      </c>
      <c r="E23" s="10"/>
    </row>
    <row r="24" spans="1:5" ht="52.5" thickTop="1" thickBot="1">
      <c r="A24" s="83" t="s">
        <v>285</v>
      </c>
      <c r="B24" s="99">
        <v>31280.739691850005</v>
      </c>
      <c r="C24" s="99">
        <v>288576.19300274999</v>
      </c>
      <c r="D24" s="94">
        <f t="shared" si="0"/>
        <v>319856.93269460002</v>
      </c>
      <c r="E24" s="7"/>
    </row>
    <row r="25" spans="1:5" ht="39.950000000000003" customHeight="1" thickTop="1" thickBot="1">
      <c r="A25" s="83" t="s">
        <v>286</v>
      </c>
      <c r="B25" s="99">
        <f>(B24/$D24)*100</f>
        <v>9.7796034709420887</v>
      </c>
      <c r="C25" s="99">
        <f>(C24/$D24)*100</f>
        <v>90.220396529057894</v>
      </c>
      <c r="D25" s="94">
        <f t="shared" si="0"/>
        <v>99.999999999999986</v>
      </c>
      <c r="E25" s="10"/>
    </row>
    <row r="26" spans="1:5" ht="39.75" thickTop="1" thickBot="1">
      <c r="A26" s="83" t="s">
        <v>287</v>
      </c>
      <c r="B26" s="99">
        <v>58910.388151099993</v>
      </c>
      <c r="C26" s="99">
        <v>260946.54454350003</v>
      </c>
      <c r="D26" s="94">
        <f t="shared" si="0"/>
        <v>319856.93269460002</v>
      </c>
      <c r="E26" s="7"/>
    </row>
    <row r="27" spans="1:5" ht="39.950000000000003" customHeight="1" thickTop="1" thickBot="1">
      <c r="A27" s="83" t="s">
        <v>288</v>
      </c>
      <c r="B27" s="99">
        <f>(B26/$D26)*100</f>
        <v>18.417730594367871</v>
      </c>
      <c r="C27" s="99">
        <f>(C26/$D26)*100</f>
        <v>81.582269405632132</v>
      </c>
      <c r="D27" s="94">
        <f t="shared" si="0"/>
        <v>100</v>
      </c>
      <c r="E27" s="10"/>
    </row>
    <row r="28" spans="1:5" ht="39.950000000000003" customHeight="1" thickTop="1" thickBot="1">
      <c r="A28" s="83" t="s">
        <v>289</v>
      </c>
      <c r="B28" s="99">
        <v>23976.092512400002</v>
      </c>
      <c r="C28" s="99">
        <v>145194.85598560001</v>
      </c>
      <c r="D28" s="94">
        <f t="shared" si="0"/>
        <v>169170.94849800001</v>
      </c>
      <c r="E28" s="7"/>
    </row>
    <row r="29" spans="1:5" ht="39.950000000000003" customHeight="1" thickTop="1" thickBot="1">
      <c r="A29" s="83" t="s">
        <v>290</v>
      </c>
      <c r="B29" s="99">
        <f>(B28/$D28)*100</f>
        <v>14.172700883499187</v>
      </c>
      <c r="C29" s="99">
        <f>(C28/$D28)*100</f>
        <v>85.827299116500811</v>
      </c>
      <c r="D29" s="94">
        <f t="shared" si="0"/>
        <v>100</v>
      </c>
      <c r="E29" s="10"/>
    </row>
    <row r="30" spans="1:5" ht="39.75" thickTop="1" thickBot="1">
      <c r="A30" s="83" t="s">
        <v>291</v>
      </c>
      <c r="B30" s="99">
        <v>43301.286933849995</v>
      </c>
      <c r="C30" s="99">
        <v>125869.66156415</v>
      </c>
      <c r="D30" s="94">
        <f t="shared" si="0"/>
        <v>169170.94849799998</v>
      </c>
      <c r="E30" s="7"/>
    </row>
    <row r="31" spans="1:5" ht="39.950000000000003" customHeight="1" thickTop="1" thickBot="1">
      <c r="A31" s="83" t="s">
        <v>292</v>
      </c>
      <c r="B31" s="99">
        <f>(B30/$D30)*100</f>
        <v>25.596171989519771</v>
      </c>
      <c r="C31" s="99">
        <f>(C30/$D30)*100</f>
        <v>74.40382801048024</v>
      </c>
      <c r="D31" s="94">
        <f t="shared" si="0"/>
        <v>100.00000000000001</v>
      </c>
      <c r="E31" s="10"/>
    </row>
    <row r="32" spans="1:5" ht="52.5" thickTop="1" thickBot="1">
      <c r="A32" s="83" t="s">
        <v>487</v>
      </c>
      <c r="B32" s="99">
        <v>60193.899900300006</v>
      </c>
      <c r="C32" s="99">
        <v>239429.88606024999</v>
      </c>
      <c r="D32" s="94">
        <f t="shared" si="0"/>
        <v>299623.78596055001</v>
      </c>
      <c r="E32" s="7"/>
    </row>
    <row r="33" spans="1:5" ht="39.950000000000003" customHeight="1" thickTop="1" thickBot="1">
      <c r="A33" s="83" t="s">
        <v>488</v>
      </c>
      <c r="B33" s="99">
        <f>(B32/$D32)*100</f>
        <v>20.089826883178574</v>
      </c>
      <c r="C33" s="99">
        <f>(C32/$D32)*100</f>
        <v>79.910173116821426</v>
      </c>
      <c r="D33" s="94">
        <f t="shared" si="0"/>
        <v>100</v>
      </c>
      <c r="E33" s="10"/>
    </row>
    <row r="34" spans="1:5" ht="39.75" thickTop="1" thickBot="1">
      <c r="A34" s="83" t="s">
        <v>489</v>
      </c>
      <c r="B34" s="99">
        <v>83206.300229149987</v>
      </c>
      <c r="C34" s="99">
        <v>216417.48573139997</v>
      </c>
      <c r="D34" s="94">
        <f t="shared" si="0"/>
        <v>299623.78596054995</v>
      </c>
      <c r="E34" s="7"/>
    </row>
    <row r="35" spans="1:5" ht="39.950000000000003" customHeight="1" thickTop="1" thickBot="1">
      <c r="A35" s="83" t="s">
        <v>490</v>
      </c>
      <c r="B35" s="99">
        <f>(B34/$D34)*100</f>
        <v>27.770258613615329</v>
      </c>
      <c r="C35" s="99">
        <f>(C34/$D34)*100</f>
        <v>72.229741386384674</v>
      </c>
      <c r="D35" s="94">
        <f t="shared" si="0"/>
        <v>100</v>
      </c>
      <c r="E35" s="10"/>
    </row>
    <row r="36" spans="1:5" ht="52.5" thickTop="1" thickBot="1">
      <c r="A36" s="83" t="s">
        <v>293</v>
      </c>
      <c r="B36" s="99">
        <v>36272.804499050006</v>
      </c>
      <c r="C36" s="99">
        <v>215211.91100414997</v>
      </c>
      <c r="D36" s="94">
        <f t="shared" si="0"/>
        <v>251484.71550319996</v>
      </c>
      <c r="E36" s="7"/>
    </row>
    <row r="37" spans="1:5" ht="39.950000000000003" customHeight="1" thickTop="1" thickBot="1">
      <c r="A37" s="83" t="s">
        <v>294</v>
      </c>
      <c r="B37" s="99">
        <f>(B36/$D36)*100</f>
        <v>14.42346284404249</v>
      </c>
      <c r="C37" s="99">
        <f>(C36/$D36)*100</f>
        <v>85.576537155957524</v>
      </c>
      <c r="D37" s="94">
        <f t="shared" si="0"/>
        <v>100.00000000000001</v>
      </c>
      <c r="E37" s="10"/>
    </row>
    <row r="38" spans="1:5" ht="39.75" thickTop="1" thickBot="1">
      <c r="A38" s="83" t="s">
        <v>295</v>
      </c>
      <c r="B38" s="99">
        <v>49497.01546825</v>
      </c>
      <c r="C38" s="99">
        <v>201987.70003495002</v>
      </c>
      <c r="D38" s="94">
        <f t="shared" si="0"/>
        <v>251484.71550320002</v>
      </c>
      <c r="E38" s="7"/>
    </row>
    <row r="39" spans="1:5" ht="39.950000000000003" customHeight="1" thickTop="1" thickBot="1">
      <c r="A39" s="83" t="s">
        <v>296</v>
      </c>
      <c r="B39" s="99">
        <f>(B38/$D38)*100</f>
        <v>19.681917992197096</v>
      </c>
      <c r="C39" s="99">
        <f>(C38/$D38)*100</f>
        <v>80.3180820078029</v>
      </c>
      <c r="D39" s="94">
        <f t="shared" si="0"/>
        <v>100</v>
      </c>
      <c r="E39" s="10"/>
    </row>
    <row r="40" spans="1:5" ht="52.5" thickTop="1" thickBot="1">
      <c r="A40" s="83" t="s">
        <v>297</v>
      </c>
      <c r="B40" s="99">
        <v>52968.690465289998</v>
      </c>
      <c r="C40" s="99">
        <v>131732.78094062</v>
      </c>
      <c r="D40" s="94">
        <f t="shared" ref="D40:D71" si="1">SUM(B40:C40)</f>
        <v>184701.47140590998</v>
      </c>
      <c r="E40" s="7"/>
    </row>
    <row r="41" spans="1:5" ht="39.950000000000003" customHeight="1" thickTop="1" thickBot="1">
      <c r="A41" s="83" t="s">
        <v>298</v>
      </c>
      <c r="B41" s="99">
        <f>(B40/$D40)*100</f>
        <v>28.678001351100839</v>
      </c>
      <c r="C41" s="99">
        <f>(C40/$D40)*100</f>
        <v>71.321998648899168</v>
      </c>
      <c r="D41" s="94">
        <f t="shared" si="1"/>
        <v>100</v>
      </c>
      <c r="E41" s="10"/>
    </row>
    <row r="42" spans="1:5" ht="39.950000000000003" customHeight="1" thickTop="1" thickBot="1">
      <c r="A42" s="83" t="s">
        <v>299</v>
      </c>
      <c r="B42" s="99">
        <v>37120.315565660007</v>
      </c>
      <c r="C42" s="99">
        <v>147581.15584024999</v>
      </c>
      <c r="D42" s="94">
        <f t="shared" si="1"/>
        <v>184701.47140591001</v>
      </c>
      <c r="E42" s="7"/>
    </row>
    <row r="43" spans="1:5" ht="39.950000000000003" customHeight="1" thickTop="1" thickBot="1">
      <c r="A43" s="83" t="s">
        <v>300</v>
      </c>
      <c r="B43" s="99">
        <f>(B42/$D42)*100</f>
        <v>20.097466080322867</v>
      </c>
      <c r="C43" s="99">
        <f>(C42/$D42)*100</f>
        <v>79.902533919677126</v>
      </c>
      <c r="D43" s="94">
        <f t="shared" si="1"/>
        <v>100</v>
      </c>
      <c r="E43" s="10"/>
    </row>
    <row r="44" spans="1:5" ht="52.5" thickTop="1" thickBot="1">
      <c r="A44" s="83" t="s">
        <v>301</v>
      </c>
      <c r="B44" s="99">
        <v>35003.83</v>
      </c>
      <c r="C44" s="99">
        <v>135863.60999999999</v>
      </c>
      <c r="D44" s="94">
        <f t="shared" si="1"/>
        <v>170867.44</v>
      </c>
      <c r="E44" s="7"/>
    </row>
    <row r="45" spans="1:5" ht="39.950000000000003" customHeight="1" thickTop="1" thickBot="1">
      <c r="A45" s="83" t="s">
        <v>302</v>
      </c>
      <c r="B45" s="99">
        <f>(B44/$D44)*100</f>
        <v>20.485956832969464</v>
      </c>
      <c r="C45" s="99">
        <f>(C44/$D44)*100</f>
        <v>79.514043167030522</v>
      </c>
      <c r="D45" s="94">
        <f t="shared" si="1"/>
        <v>99.999999999999986</v>
      </c>
      <c r="E45" s="10"/>
    </row>
    <row r="46" spans="1:5" ht="39.75" thickTop="1" thickBot="1">
      <c r="A46" s="83" t="s">
        <v>303</v>
      </c>
      <c r="B46" s="99">
        <v>49759.91</v>
      </c>
      <c r="C46" s="99">
        <v>121107.53</v>
      </c>
      <c r="D46" s="94">
        <f t="shared" si="1"/>
        <v>170867.44</v>
      </c>
      <c r="E46" s="7"/>
    </row>
    <row r="47" spans="1:5" ht="39.950000000000003" customHeight="1" thickTop="1" thickBot="1">
      <c r="A47" s="83" t="s">
        <v>304</v>
      </c>
      <c r="B47" s="99">
        <f>(B46/$D46)*100</f>
        <v>29.121938035707686</v>
      </c>
      <c r="C47" s="99">
        <f>(C46/$D46)*100</f>
        <v>70.878061964292314</v>
      </c>
      <c r="D47" s="94">
        <f t="shared" si="1"/>
        <v>100</v>
      </c>
      <c r="E47" s="10"/>
    </row>
    <row r="48" spans="1:5" ht="52.5" thickTop="1" thickBot="1">
      <c r="A48" s="83" t="s">
        <v>491</v>
      </c>
      <c r="B48" s="99">
        <v>40015.29</v>
      </c>
      <c r="C48" s="99">
        <v>189206.22</v>
      </c>
      <c r="D48" s="94">
        <f t="shared" si="1"/>
        <v>229221.51</v>
      </c>
      <c r="E48" s="7"/>
    </row>
    <row r="49" spans="1:5" ht="39.950000000000003" customHeight="1" thickTop="1" thickBot="1">
      <c r="A49" s="83" t="s">
        <v>492</v>
      </c>
      <c r="B49" s="99">
        <f>(B48/$D48)*100</f>
        <v>17.457039699284767</v>
      </c>
      <c r="C49" s="99">
        <f>(C48/$D48)*100</f>
        <v>82.542960300715222</v>
      </c>
      <c r="D49" s="94">
        <f t="shared" si="1"/>
        <v>99.999999999999986</v>
      </c>
      <c r="E49" s="10"/>
    </row>
    <row r="50" spans="1:5" ht="39.75" thickTop="1" thickBot="1">
      <c r="A50" s="83" t="s">
        <v>493</v>
      </c>
      <c r="B50" s="99">
        <v>61175.79</v>
      </c>
      <c r="C50" s="99">
        <v>168045.72</v>
      </c>
      <c r="D50" s="94">
        <f t="shared" si="1"/>
        <v>229221.51</v>
      </c>
      <c r="E50" s="7"/>
    </row>
    <row r="51" spans="1:5" ht="39.950000000000003" customHeight="1" thickTop="1" thickBot="1">
      <c r="A51" s="83" t="s">
        <v>494</v>
      </c>
      <c r="B51" s="99">
        <f>(B50/$D50)*100</f>
        <v>26.688503186284741</v>
      </c>
      <c r="C51" s="99">
        <f>(C50/$D50)*100</f>
        <v>73.311496813715266</v>
      </c>
      <c r="D51" s="94">
        <f t="shared" si="1"/>
        <v>100</v>
      </c>
      <c r="E51" s="10"/>
    </row>
    <row r="52" spans="1:5" ht="52.5" thickTop="1" thickBot="1">
      <c r="A52" s="83" t="s">
        <v>305</v>
      </c>
      <c r="B52" s="99">
        <v>44682.606934000003</v>
      </c>
      <c r="C52" s="99">
        <v>192595.716361</v>
      </c>
      <c r="D52" s="94">
        <f t="shared" si="1"/>
        <v>237278.32329500001</v>
      </c>
      <c r="E52" s="7"/>
    </row>
    <row r="53" spans="1:5" ht="39.950000000000003" customHeight="1" thickTop="1" thickBot="1">
      <c r="A53" s="83" t="s">
        <v>306</v>
      </c>
      <c r="B53" s="99">
        <f>(B52/$D52)*100</f>
        <v>18.831305916827322</v>
      </c>
      <c r="C53" s="99">
        <f>(C52/$D52)*100</f>
        <v>81.168694083172682</v>
      </c>
      <c r="D53" s="94">
        <f t="shared" si="1"/>
        <v>100</v>
      </c>
      <c r="E53" s="10"/>
    </row>
    <row r="54" spans="1:5" ht="39.75" thickTop="1" thickBot="1">
      <c r="A54" s="83" t="s">
        <v>307</v>
      </c>
      <c r="B54" s="99">
        <v>68246.989969000002</v>
      </c>
      <c r="C54" s="99">
        <v>169031.333327</v>
      </c>
      <c r="D54" s="94">
        <f t="shared" si="1"/>
        <v>237278.32329600002</v>
      </c>
      <c r="E54" s="7"/>
    </row>
    <row r="55" spans="1:5" ht="39.950000000000003" customHeight="1" thickTop="1" thickBot="1">
      <c r="A55" s="83" t="s">
        <v>308</v>
      </c>
      <c r="B55" s="99">
        <f>(B54/$D54)*100</f>
        <v>28.762420865501159</v>
      </c>
      <c r="C55" s="99">
        <f>(C54/$D54)*100</f>
        <v>71.237579134498844</v>
      </c>
      <c r="D55" s="94">
        <f t="shared" si="1"/>
        <v>100</v>
      </c>
      <c r="E55" s="10"/>
    </row>
    <row r="56" spans="1:5" ht="52.5" thickTop="1" thickBot="1">
      <c r="A56" s="83" t="s">
        <v>309</v>
      </c>
      <c r="B56" s="99">
        <v>46796.178613999997</v>
      </c>
      <c r="C56" s="99">
        <v>191504.72526199999</v>
      </c>
      <c r="D56" s="94">
        <f t="shared" si="1"/>
        <v>238300.903876</v>
      </c>
      <c r="E56" s="7"/>
    </row>
    <row r="57" spans="1:5" ht="39.950000000000003" customHeight="1" thickTop="1" thickBot="1">
      <c r="A57" s="83" t="s">
        <v>310</v>
      </c>
      <c r="B57" s="99">
        <f>(B56/$D56)*100</f>
        <v>19.637432276946132</v>
      </c>
      <c r="C57" s="99">
        <f>(C56/$D56)*100</f>
        <v>80.362567723053871</v>
      </c>
      <c r="D57" s="94">
        <f t="shared" si="1"/>
        <v>100</v>
      </c>
      <c r="E57" s="10"/>
    </row>
    <row r="58" spans="1:5" ht="39.75" thickTop="1" thickBot="1">
      <c r="A58" s="83" t="s">
        <v>311</v>
      </c>
      <c r="B58" s="99">
        <v>67879.458152000007</v>
      </c>
      <c r="C58" s="99">
        <v>170421.445725</v>
      </c>
      <c r="D58" s="94">
        <f t="shared" si="1"/>
        <v>238300.903877</v>
      </c>
      <c r="E58" s="7"/>
    </row>
    <row r="59" spans="1:5" ht="39.950000000000003" customHeight="1" thickTop="1" thickBot="1">
      <c r="A59" s="83" t="s">
        <v>312</v>
      </c>
      <c r="B59" s="99">
        <f>(B58/$D58)*100</f>
        <v>28.484767387637049</v>
      </c>
      <c r="C59" s="99">
        <f>(C58/$D58)*100</f>
        <v>71.515232612362951</v>
      </c>
      <c r="D59" s="94">
        <f t="shared" si="1"/>
        <v>100</v>
      </c>
      <c r="E59" s="10"/>
    </row>
    <row r="60" spans="1:5" ht="52.5" thickTop="1" thickBot="1">
      <c r="A60" s="83" t="s">
        <v>313</v>
      </c>
      <c r="B60" s="99">
        <v>34116.881038</v>
      </c>
      <c r="C60" s="99">
        <v>143110.16780600001</v>
      </c>
      <c r="D60" s="94">
        <f t="shared" si="1"/>
        <v>177227.048844</v>
      </c>
      <c r="E60" s="7"/>
    </row>
    <row r="61" spans="1:5" ht="39.950000000000003" customHeight="1" thickTop="1" thickBot="1">
      <c r="A61" s="83" t="s">
        <v>314</v>
      </c>
      <c r="B61" s="99">
        <v>19.250380379594649</v>
      </c>
      <c r="C61" s="99">
        <v>80.749619620405355</v>
      </c>
      <c r="D61" s="94">
        <f t="shared" si="1"/>
        <v>100</v>
      </c>
      <c r="E61" s="10"/>
    </row>
    <row r="62" spans="1:5" ht="39.75" thickTop="1" thickBot="1">
      <c r="A62" s="83" t="s">
        <v>315</v>
      </c>
      <c r="B62" s="99">
        <v>59344.527549999999</v>
      </c>
      <c r="C62" s="99">
        <v>117882.521295</v>
      </c>
      <c r="D62" s="94">
        <f t="shared" si="1"/>
        <v>177227.04884499998</v>
      </c>
      <c r="E62" s="7"/>
    </row>
    <row r="63" spans="1:5" ht="39.950000000000003" customHeight="1" thickTop="1" thickBot="1">
      <c r="A63" s="83" t="s">
        <v>316</v>
      </c>
      <c r="B63" s="99">
        <v>33.485028350216339</v>
      </c>
      <c r="C63" s="99">
        <v>66.514971649783675</v>
      </c>
      <c r="D63" s="94">
        <f t="shared" si="1"/>
        <v>100.00000000000001</v>
      </c>
      <c r="E63" s="10"/>
    </row>
    <row r="64" spans="1:5" ht="52.5" thickTop="1" thickBot="1">
      <c r="A64" s="83" t="s">
        <v>495</v>
      </c>
      <c r="B64" s="99">
        <v>52461.565957999999</v>
      </c>
      <c r="C64" s="99">
        <v>165601.84153199999</v>
      </c>
      <c r="D64" s="94">
        <f t="shared" si="1"/>
        <v>218063.40748999998</v>
      </c>
      <c r="E64" s="7"/>
    </row>
    <row r="65" spans="1:5" ht="39.950000000000003" customHeight="1" thickTop="1" thickBot="1">
      <c r="A65" s="83" t="s">
        <v>496</v>
      </c>
      <c r="B65" s="99">
        <f>(B64/$D64)*100</f>
        <v>24.057941019015672</v>
      </c>
      <c r="C65" s="99">
        <f>(C64/$D64)*100</f>
        <v>75.942058980984328</v>
      </c>
      <c r="D65" s="94">
        <f t="shared" si="1"/>
        <v>100</v>
      </c>
      <c r="E65" s="10"/>
    </row>
    <row r="66" spans="1:5" ht="39.75" thickTop="1" thickBot="1">
      <c r="A66" s="83" t="s">
        <v>497</v>
      </c>
      <c r="B66" s="99">
        <v>67237.226853999993</v>
      </c>
      <c r="C66" s="99">
        <v>150826.180636</v>
      </c>
      <c r="D66" s="94">
        <f t="shared" si="1"/>
        <v>218063.40749000001</v>
      </c>
      <c r="E66" s="7"/>
    </row>
    <row r="67" spans="1:5" ht="39.950000000000003" customHeight="1" thickTop="1" thickBot="1">
      <c r="A67" s="83" t="s">
        <v>498</v>
      </c>
      <c r="B67" s="99">
        <f>(B66/$D66)*100</f>
        <v>30.833796292522564</v>
      </c>
      <c r="C67" s="99">
        <f>(C66/$D66)*100</f>
        <v>69.166203707477422</v>
      </c>
      <c r="D67" s="94">
        <f t="shared" si="1"/>
        <v>99.999999999999986</v>
      </c>
      <c r="E67" s="10"/>
    </row>
    <row r="68" spans="1:5" ht="52.5" thickTop="1" thickBot="1">
      <c r="A68" s="83" t="s">
        <v>317</v>
      </c>
      <c r="B68" s="99">
        <v>46941.424449285005</v>
      </c>
      <c r="C68" s="99">
        <v>130015.606312</v>
      </c>
      <c r="D68" s="94">
        <f t="shared" si="1"/>
        <v>176957.03076128502</v>
      </c>
      <c r="E68" s="7"/>
    </row>
    <row r="69" spans="1:5" ht="39.950000000000003" customHeight="1" thickTop="1" thickBot="1">
      <c r="A69" s="83" t="s">
        <v>318</v>
      </c>
      <c r="B69" s="99">
        <f>(B68/$D68)*100</f>
        <v>26.527018591654024</v>
      </c>
      <c r="C69" s="99">
        <f>(C68/$D68)*100</f>
        <v>73.472981408345973</v>
      </c>
      <c r="D69" s="94">
        <f t="shared" si="1"/>
        <v>100</v>
      </c>
      <c r="E69" s="10"/>
    </row>
    <row r="70" spans="1:5" ht="39.75" thickTop="1" thickBot="1">
      <c r="A70" s="83" t="s">
        <v>319</v>
      </c>
      <c r="B70" s="99">
        <v>54187.356131329696</v>
      </c>
      <c r="C70" s="99">
        <v>122769.67463167031</v>
      </c>
      <c r="D70" s="94">
        <f t="shared" si="1"/>
        <v>176957.03076300002</v>
      </c>
      <c r="E70" s="7"/>
    </row>
    <row r="71" spans="1:5" ht="39.950000000000003" customHeight="1" thickTop="1" thickBot="1">
      <c r="A71" s="83" t="s">
        <v>320</v>
      </c>
      <c r="B71" s="99">
        <f>(B70/$D70)*100</f>
        <v>30.621759360272755</v>
      </c>
      <c r="C71" s="99">
        <f>(C70/$D70)*100</f>
        <v>69.378240639727238</v>
      </c>
      <c r="D71" s="94">
        <f t="shared" si="1"/>
        <v>100</v>
      </c>
      <c r="E71" s="10"/>
    </row>
    <row r="72" spans="1:5" ht="52.5" thickTop="1" thickBot="1">
      <c r="A72" s="83" t="s">
        <v>321</v>
      </c>
      <c r="B72" s="99">
        <v>126388.471697</v>
      </c>
      <c r="C72" s="99">
        <v>135612.134479</v>
      </c>
      <c r="D72" s="94">
        <f t="shared" ref="D72:D103" si="2">SUM(B72:C72)</f>
        <v>262000.606176</v>
      </c>
      <c r="E72" s="7"/>
    </row>
    <row r="73" spans="1:5" ht="39.950000000000003" customHeight="1" thickTop="1" thickBot="1">
      <c r="A73" s="83" t="s">
        <v>322</v>
      </c>
      <c r="B73" s="99">
        <f>(B72/$D72)*100</f>
        <v>48.239763083638827</v>
      </c>
      <c r="C73" s="99">
        <f>(C72/$D72)*100</f>
        <v>51.760236916361166</v>
      </c>
      <c r="D73" s="94">
        <f t="shared" si="2"/>
        <v>100</v>
      </c>
      <c r="E73" s="10"/>
    </row>
    <row r="74" spans="1:5" ht="39.75" thickTop="1" thickBot="1">
      <c r="A74" s="83" t="s">
        <v>323</v>
      </c>
      <c r="B74" s="99">
        <v>135474.802746</v>
      </c>
      <c r="C74" s="99">
        <v>126525.80343099999</v>
      </c>
      <c r="D74" s="94">
        <f t="shared" si="2"/>
        <v>262000.60617699998</v>
      </c>
      <c r="E74" s="7"/>
    </row>
    <row r="75" spans="1:5" ht="39.950000000000003" customHeight="1" thickTop="1" thickBot="1">
      <c r="A75" s="83" t="s">
        <v>324</v>
      </c>
      <c r="B75" s="99">
        <f>(B74/$D74)*100</f>
        <v>51.707820345452625</v>
      </c>
      <c r="C75" s="99">
        <f>(C74/$D74)*100</f>
        <v>48.292179654547382</v>
      </c>
      <c r="D75" s="94">
        <f t="shared" si="2"/>
        <v>100</v>
      </c>
      <c r="E75" s="10"/>
    </row>
    <row r="76" spans="1:5" ht="52.5" thickTop="1" thickBot="1">
      <c r="A76" s="83" t="s">
        <v>325</v>
      </c>
      <c r="B76" s="99">
        <v>96020.364658000006</v>
      </c>
      <c r="C76" s="99">
        <v>112613.585143</v>
      </c>
      <c r="D76" s="94">
        <f t="shared" si="2"/>
        <v>208633.94980100001</v>
      </c>
      <c r="E76" s="7"/>
    </row>
    <row r="77" spans="1:5" ht="39.950000000000003" customHeight="1" thickTop="1" thickBot="1">
      <c r="A77" s="83" t="s">
        <v>326</v>
      </c>
      <c r="B77" s="99">
        <f>(B76/$D76)*100</f>
        <v>46.02336520474568</v>
      </c>
      <c r="C77" s="99">
        <f>(C76/$D76)*100</f>
        <v>53.97663479525432</v>
      </c>
      <c r="D77" s="94">
        <f t="shared" si="2"/>
        <v>100</v>
      </c>
      <c r="E77" s="10"/>
    </row>
    <row r="78" spans="1:5" ht="39.75" thickTop="1" thickBot="1">
      <c r="A78" s="83" t="s">
        <v>327</v>
      </c>
      <c r="B78" s="99">
        <v>103497.30970100001</v>
      </c>
      <c r="C78" s="99">
        <v>105136.640101</v>
      </c>
      <c r="D78" s="94">
        <f t="shared" si="2"/>
        <v>208633.94980200002</v>
      </c>
      <c r="E78" s="7"/>
    </row>
    <row r="79" spans="1:5" ht="39.950000000000003" customHeight="1" thickTop="1" thickBot="1">
      <c r="A79" s="83" t="s">
        <v>328</v>
      </c>
      <c r="B79" s="99">
        <f>(B78/$D78)*100</f>
        <v>49.607127602780906</v>
      </c>
      <c r="C79" s="99">
        <f>(C78/$D78)*100</f>
        <v>50.392872397219094</v>
      </c>
      <c r="D79" s="94">
        <f t="shared" si="2"/>
        <v>100</v>
      </c>
      <c r="E79" s="10"/>
    </row>
    <row r="80" spans="1:5" ht="52.5" thickTop="1" thickBot="1">
      <c r="A80" s="83" t="s">
        <v>499</v>
      </c>
      <c r="B80" s="99">
        <v>79272.576795999994</v>
      </c>
      <c r="C80" s="99">
        <v>153274.91125500001</v>
      </c>
      <c r="D80" s="94">
        <f t="shared" si="2"/>
        <v>232547.48805099999</v>
      </c>
      <c r="E80" s="7"/>
    </row>
    <row r="81" spans="1:5" ht="39.950000000000003" customHeight="1" thickTop="1" thickBot="1">
      <c r="A81" s="83" t="s">
        <v>500</v>
      </c>
      <c r="B81" s="99">
        <f>(B80/$D80)*100</f>
        <v>34.088769334981905</v>
      </c>
      <c r="C81" s="99">
        <f>(C80/$D80)*100</f>
        <v>65.91123066501811</v>
      </c>
      <c r="D81" s="94">
        <f t="shared" si="2"/>
        <v>100.00000000000001</v>
      </c>
      <c r="E81" s="10"/>
    </row>
    <row r="82" spans="1:5" ht="39.75" thickTop="1" thickBot="1">
      <c r="A82" s="83" t="s">
        <v>501</v>
      </c>
      <c r="B82" s="99">
        <v>89084.221967999998</v>
      </c>
      <c r="C82" s="99">
        <v>143463.26608100001</v>
      </c>
      <c r="D82" s="94">
        <f t="shared" si="2"/>
        <v>232547.48804900001</v>
      </c>
      <c r="E82" s="7"/>
    </row>
    <row r="83" spans="1:5" ht="39.950000000000003" customHeight="1" thickTop="1" thickBot="1">
      <c r="A83" s="83" t="s">
        <v>502</v>
      </c>
      <c r="B83" s="99">
        <f>(B82/$D82)*100</f>
        <v>38.307970004487466</v>
      </c>
      <c r="C83" s="99">
        <f>(C82/$D82)*100</f>
        <v>61.692029995512534</v>
      </c>
      <c r="D83" s="94">
        <f t="shared" si="2"/>
        <v>100</v>
      </c>
      <c r="E83" s="10"/>
    </row>
    <row r="84" spans="1:5" ht="52.5" thickTop="1" thickBot="1">
      <c r="A84" s="83" t="s">
        <v>329</v>
      </c>
      <c r="B84" s="99">
        <v>77583.432870999997</v>
      </c>
      <c r="C84" s="99">
        <v>195332.89608400001</v>
      </c>
      <c r="D84" s="94">
        <f t="shared" si="2"/>
        <v>272916.32895500003</v>
      </c>
      <c r="E84" s="7"/>
    </row>
    <row r="85" spans="1:5" ht="39.950000000000003" customHeight="1" thickTop="1" thickBot="1">
      <c r="A85" s="83" t="s">
        <v>330</v>
      </c>
      <c r="B85" s="99">
        <v>28.427552564578278</v>
      </c>
      <c r="C85" s="99">
        <v>71.572447435421722</v>
      </c>
      <c r="D85" s="94">
        <f t="shared" si="2"/>
        <v>100</v>
      </c>
      <c r="E85" s="10"/>
    </row>
    <row r="86" spans="1:5" ht="39.75" thickTop="1" thickBot="1">
      <c r="A86" s="83" t="s">
        <v>331</v>
      </c>
      <c r="B86" s="99">
        <v>76643.471111000006</v>
      </c>
      <c r="C86" s="99">
        <v>196272.85784400001</v>
      </c>
      <c r="D86" s="94">
        <f t="shared" si="2"/>
        <v>272916.32895500003</v>
      </c>
      <c r="E86" s="7"/>
    </row>
    <row r="87" spans="1:5" ht="39.950000000000003" customHeight="1" thickTop="1" thickBot="1">
      <c r="A87" s="83" t="s">
        <v>332</v>
      </c>
      <c r="B87" s="99">
        <v>28.083138669081762</v>
      </c>
      <c r="C87" s="99">
        <v>71.916861330918238</v>
      </c>
      <c r="D87" s="94">
        <f t="shared" si="2"/>
        <v>100</v>
      </c>
      <c r="E87" s="10"/>
    </row>
    <row r="88" spans="1:5" ht="52.5" thickTop="1" thickBot="1">
      <c r="A88" s="83" t="s">
        <v>333</v>
      </c>
      <c r="B88" s="99">
        <v>326668.29719999997</v>
      </c>
      <c r="C88" s="99">
        <v>225620.119924</v>
      </c>
      <c r="D88" s="94">
        <f t="shared" si="2"/>
        <v>552288.41712399991</v>
      </c>
      <c r="E88" s="7"/>
    </row>
    <row r="89" spans="1:5" ht="39.950000000000003" customHeight="1" thickTop="1" thickBot="1">
      <c r="A89" s="83" t="s">
        <v>334</v>
      </c>
      <c r="B89" s="99">
        <f>(B88/$D88)*100</f>
        <v>59.148134755586653</v>
      </c>
      <c r="C89" s="99">
        <f>(C88/$D88)*100</f>
        <v>40.851865244413361</v>
      </c>
      <c r="D89" s="94">
        <f t="shared" si="2"/>
        <v>100.00000000000001</v>
      </c>
      <c r="E89" s="10"/>
    </row>
    <row r="90" spans="1:5" ht="39.75" thickTop="1" thickBot="1">
      <c r="A90" s="83" t="s">
        <v>335</v>
      </c>
      <c r="B90" s="99">
        <v>330682.41626600001</v>
      </c>
      <c r="C90" s="99">
        <v>221606.00085700001</v>
      </c>
      <c r="D90" s="94">
        <f t="shared" si="2"/>
        <v>552288.41712300002</v>
      </c>
      <c r="E90" s="7"/>
    </row>
    <row r="91" spans="1:5" ht="39.950000000000003" customHeight="1" thickTop="1" thickBot="1">
      <c r="A91" s="83" t="s">
        <v>336</v>
      </c>
      <c r="B91" s="99">
        <f>(B90/$D90)*100</f>
        <v>59.874950481236297</v>
      </c>
      <c r="C91" s="99">
        <f>(C90/$D90)*100</f>
        <v>40.125049518763703</v>
      </c>
      <c r="D91" s="94">
        <f t="shared" si="2"/>
        <v>100</v>
      </c>
      <c r="E91" s="10"/>
    </row>
    <row r="92" spans="1:5" ht="52.5" thickTop="1" thickBot="1">
      <c r="A92" s="83" t="s">
        <v>337</v>
      </c>
      <c r="B92" s="99">
        <v>71397.524017000003</v>
      </c>
      <c r="C92" s="99">
        <v>457855.31713500002</v>
      </c>
      <c r="D92" s="94">
        <f t="shared" si="2"/>
        <v>529252.84115200001</v>
      </c>
      <c r="E92" s="7"/>
    </row>
    <row r="93" spans="1:5" ht="39.950000000000003" customHeight="1" thickTop="1" thickBot="1">
      <c r="A93" s="83" t="s">
        <v>338</v>
      </c>
      <c r="B93" s="99">
        <f>(B92/$D92)*100</f>
        <v>13.490248604351814</v>
      </c>
      <c r="C93" s="99">
        <f>(C92/$D92)*100</f>
        <v>86.509751395648195</v>
      </c>
      <c r="D93" s="94">
        <f t="shared" si="2"/>
        <v>100.00000000000001</v>
      </c>
      <c r="E93" s="10"/>
    </row>
    <row r="94" spans="1:5" ht="52.5" thickTop="1" thickBot="1">
      <c r="A94" s="83" t="s">
        <v>339</v>
      </c>
      <c r="B94" s="99">
        <v>80297.449970999995</v>
      </c>
      <c r="C94" s="99">
        <v>448955.39118199999</v>
      </c>
      <c r="D94" s="94">
        <f t="shared" si="2"/>
        <v>529252.84115300002</v>
      </c>
      <c r="E94" s="7"/>
    </row>
    <row r="95" spans="1:5" ht="36" customHeight="1" thickTop="1" thickBot="1">
      <c r="A95" s="83" t="s">
        <v>340</v>
      </c>
      <c r="B95" s="99">
        <f>(B94/$D94)*100</f>
        <v>15.171850527258115</v>
      </c>
      <c r="C95" s="99">
        <f>(C94/$D94)*100</f>
        <v>84.82814947274187</v>
      </c>
      <c r="D95" s="94">
        <f t="shared" si="2"/>
        <v>99.999999999999986</v>
      </c>
      <c r="E95" s="10"/>
    </row>
    <row r="96" spans="1:5" ht="52.5" thickTop="1" thickBot="1">
      <c r="A96" s="83" t="s">
        <v>503</v>
      </c>
      <c r="B96" s="99">
        <v>66957.137373999998</v>
      </c>
      <c r="C96" s="99">
        <v>666384.84988899995</v>
      </c>
      <c r="D96" s="94">
        <f t="shared" si="2"/>
        <v>733341.98726299999</v>
      </c>
      <c r="E96" s="7"/>
    </row>
    <row r="97" spans="1:5" ht="39.950000000000003" customHeight="1" thickTop="1" thickBot="1">
      <c r="A97" s="83" t="s">
        <v>504</v>
      </c>
      <c r="B97" s="99">
        <v>9.1304109865438559</v>
      </c>
      <c r="C97" s="99">
        <v>90.869589013456135</v>
      </c>
      <c r="D97" s="94">
        <f t="shared" si="2"/>
        <v>99.999999999999986</v>
      </c>
      <c r="E97" s="10"/>
    </row>
    <row r="98" spans="1:5" ht="52.5" thickTop="1" thickBot="1">
      <c r="A98" s="83" t="s">
        <v>505</v>
      </c>
      <c r="B98" s="99">
        <v>79737.150403000007</v>
      </c>
      <c r="C98" s="99">
        <v>653604.83686000004</v>
      </c>
      <c r="D98" s="94">
        <f t="shared" si="2"/>
        <v>733341.9872630001</v>
      </c>
      <c r="E98" s="7"/>
    </row>
    <row r="99" spans="1:5" ht="36" customHeight="1" thickTop="1" thickBot="1">
      <c r="A99" s="83" t="s">
        <v>506</v>
      </c>
      <c r="B99" s="99">
        <v>10.873119470575695</v>
      </c>
      <c r="C99" s="99">
        <v>89.126880529424284</v>
      </c>
      <c r="D99" s="94">
        <f t="shared" si="2"/>
        <v>99.999999999999972</v>
      </c>
      <c r="E99" s="10"/>
    </row>
    <row r="100" spans="1:5" ht="52.5" thickTop="1" thickBot="1">
      <c r="A100" s="83" t="s">
        <v>341</v>
      </c>
      <c r="B100" s="99">
        <v>72735.789233000003</v>
      </c>
      <c r="C100" s="99">
        <v>624519.35510699998</v>
      </c>
      <c r="D100" s="94">
        <f t="shared" si="2"/>
        <v>697255.14434</v>
      </c>
      <c r="E100" s="7"/>
    </row>
    <row r="101" spans="1:5" ht="39.950000000000003" customHeight="1" thickTop="1" thickBot="1">
      <c r="A101" s="83" t="s">
        <v>342</v>
      </c>
      <c r="B101" s="99">
        <f>(B100/$D100)*100</f>
        <v>10.431732174862537</v>
      </c>
      <c r="C101" s="99">
        <f>(C100/$D100)*100</f>
        <v>89.568267825137454</v>
      </c>
      <c r="D101" s="94">
        <f t="shared" si="2"/>
        <v>99.999999999999986</v>
      </c>
      <c r="E101" s="10"/>
    </row>
    <row r="102" spans="1:5" ht="52.5" thickTop="1" thickBot="1">
      <c r="A102" s="83" t="s">
        <v>343</v>
      </c>
      <c r="B102" s="99">
        <v>81799.624664000003</v>
      </c>
      <c r="C102" s="99">
        <v>615455.51967800001</v>
      </c>
      <c r="D102" s="94">
        <f t="shared" si="2"/>
        <v>697255.14434200001</v>
      </c>
      <c r="E102" s="7"/>
    </row>
    <row r="103" spans="1:5" ht="36" customHeight="1" thickTop="1" thickBot="1">
      <c r="A103" s="83" t="s">
        <v>344</v>
      </c>
      <c r="B103" s="99">
        <f>(B102/$D102)*100</f>
        <v>11.731663126156544</v>
      </c>
      <c r="C103" s="99">
        <f>(C102/$D102)*100</f>
        <v>88.268336873843452</v>
      </c>
      <c r="D103" s="94">
        <f t="shared" si="2"/>
        <v>100</v>
      </c>
      <c r="E103" s="10"/>
    </row>
    <row r="104" spans="1:5" ht="52.5" thickTop="1" thickBot="1">
      <c r="A104" s="83" t="s">
        <v>345</v>
      </c>
      <c r="B104" s="99">
        <v>100976.978474</v>
      </c>
      <c r="C104" s="99">
        <v>541027.64655199996</v>
      </c>
      <c r="D104" s="94">
        <f t="shared" ref="D104:D135" si="3">SUM(B104:C104)</f>
        <v>642004.62502599997</v>
      </c>
      <c r="E104" s="7"/>
    </row>
    <row r="105" spans="1:5" ht="39.950000000000003" customHeight="1" thickTop="1" thickBot="1">
      <c r="A105" s="83" t="s">
        <v>346</v>
      </c>
      <c r="B105" s="99">
        <f>(B104/$D104)*100</f>
        <v>15.728388011209518</v>
      </c>
      <c r="C105" s="99">
        <f>(C104/$D104)*100</f>
        <v>84.271611988790482</v>
      </c>
      <c r="D105" s="94">
        <f t="shared" si="3"/>
        <v>100</v>
      </c>
      <c r="E105" s="10"/>
    </row>
    <row r="106" spans="1:5" ht="52.5" thickTop="1" thickBot="1">
      <c r="A106" s="83" t="s">
        <v>347</v>
      </c>
      <c r="B106" s="99">
        <v>105623.41135900001</v>
      </c>
      <c r="C106" s="99">
        <v>536381.21366699995</v>
      </c>
      <c r="D106" s="94">
        <f t="shared" si="3"/>
        <v>642004.62502599997</v>
      </c>
      <c r="E106" s="7"/>
    </row>
    <row r="107" spans="1:5" ht="36" customHeight="1" thickTop="1" thickBot="1">
      <c r="A107" s="83" t="s">
        <v>348</v>
      </c>
      <c r="B107" s="99">
        <f>(B106/$D106)*100</f>
        <v>16.452126237365107</v>
      </c>
      <c r="C107" s="99">
        <f>(C106/$D106)*100</f>
        <v>83.547873762634893</v>
      </c>
      <c r="D107" s="94">
        <f t="shared" si="3"/>
        <v>100</v>
      </c>
      <c r="E107" s="10"/>
    </row>
    <row r="108" spans="1:5" ht="52.5" thickTop="1" thickBot="1">
      <c r="A108" s="83" t="s">
        <v>349</v>
      </c>
      <c r="B108" s="99">
        <v>81658.563571000006</v>
      </c>
      <c r="C108" s="99">
        <v>365160.44334100001</v>
      </c>
      <c r="D108" s="94">
        <f t="shared" si="3"/>
        <v>446819.00691200001</v>
      </c>
      <c r="E108" s="7"/>
    </row>
    <row r="109" spans="1:5" ht="39.950000000000003" customHeight="1" thickTop="1" thickBot="1">
      <c r="A109" s="83" t="s">
        <v>350</v>
      </c>
      <c r="B109" s="99">
        <f>(B108/$D108)*100</f>
        <v>18.275534905139448</v>
      </c>
      <c r="C109" s="99">
        <f>(C108/$D108)*100</f>
        <v>81.724465094860548</v>
      </c>
      <c r="D109" s="94">
        <f t="shared" si="3"/>
        <v>100</v>
      </c>
      <c r="E109" s="10"/>
    </row>
    <row r="110" spans="1:5" ht="52.5" thickTop="1" thickBot="1">
      <c r="A110" s="83" t="s">
        <v>351</v>
      </c>
      <c r="B110" s="99">
        <v>83310.000973000002</v>
      </c>
      <c r="C110" s="99">
        <v>363509.00593699998</v>
      </c>
      <c r="D110" s="94">
        <f t="shared" si="3"/>
        <v>446819.00691</v>
      </c>
      <c r="E110" s="7"/>
    </row>
    <row r="111" spans="1:5" ht="36" customHeight="1" thickTop="1" thickBot="1">
      <c r="A111" s="83" t="s">
        <v>352</v>
      </c>
      <c r="B111" s="99">
        <f>(B110/$D110)*100</f>
        <v>18.645133641277848</v>
      </c>
      <c r="C111" s="99">
        <f>(C110/$D110)*100</f>
        <v>81.354866358722148</v>
      </c>
      <c r="D111" s="94">
        <f t="shared" si="3"/>
        <v>100</v>
      </c>
      <c r="E111" s="10"/>
    </row>
    <row r="112" spans="1:5" ht="52.5" thickTop="1" thickBot="1">
      <c r="A112" s="83" t="s">
        <v>507</v>
      </c>
      <c r="B112" s="99">
        <v>111334.40580399999</v>
      </c>
      <c r="C112" s="99">
        <v>338487.05859700002</v>
      </c>
      <c r="D112" s="94">
        <f t="shared" si="3"/>
        <v>449821.464401</v>
      </c>
      <c r="E112" s="7"/>
    </row>
    <row r="113" spans="1:7" ht="39.950000000000003" customHeight="1" thickTop="1" thickBot="1">
      <c r="A113" s="83" t="s">
        <v>508</v>
      </c>
      <c r="B113" s="99">
        <f>(B112/$D112)*100</f>
        <v>24.750798842437916</v>
      </c>
      <c r="C113" s="99">
        <f>(C112/$D112)*100</f>
        <v>75.249201157562084</v>
      </c>
      <c r="D113" s="94">
        <f t="shared" si="3"/>
        <v>100</v>
      </c>
      <c r="E113" s="10"/>
    </row>
    <row r="114" spans="1:7" ht="52.5" thickTop="1" thickBot="1">
      <c r="A114" s="83" t="s">
        <v>509</v>
      </c>
      <c r="B114" s="99">
        <v>110163.956426</v>
      </c>
      <c r="C114" s="99">
        <v>339657.50797400001</v>
      </c>
      <c r="D114" s="94">
        <f t="shared" si="3"/>
        <v>449821.4644</v>
      </c>
      <c r="E114" s="7"/>
    </row>
    <row r="115" spans="1:7" ht="36" customHeight="1" thickTop="1" thickBot="1">
      <c r="A115" s="83" t="s">
        <v>510</v>
      </c>
      <c r="B115" s="99">
        <f>(B114/$D114)*100</f>
        <v>24.490595746235361</v>
      </c>
      <c r="C115" s="99">
        <f>(C114/$D114)*100</f>
        <v>75.509404253764643</v>
      </c>
      <c r="D115" s="94">
        <f t="shared" si="3"/>
        <v>100</v>
      </c>
      <c r="E115" s="10"/>
    </row>
    <row r="116" spans="1:7" ht="52.5" thickTop="1" thickBot="1">
      <c r="A116" s="83" t="s">
        <v>353</v>
      </c>
      <c r="B116" s="99">
        <v>164710.446708</v>
      </c>
      <c r="C116" s="99">
        <v>378102.45496200002</v>
      </c>
      <c r="D116" s="94">
        <f t="shared" si="3"/>
        <v>542812.90167000005</v>
      </c>
      <c r="E116" s="7"/>
    </row>
    <row r="117" spans="1:7" ht="39.950000000000003" customHeight="1" thickTop="1" thickBot="1">
      <c r="A117" s="83" t="s">
        <v>354</v>
      </c>
      <c r="B117" s="99">
        <f>(B116/$D116)*100</f>
        <v>30.343871009929451</v>
      </c>
      <c r="C117" s="99">
        <f>(C116/$D116)*100</f>
        <v>69.656128990070542</v>
      </c>
      <c r="D117" s="94">
        <f t="shared" si="3"/>
        <v>100</v>
      </c>
      <c r="E117" s="10"/>
    </row>
    <row r="118" spans="1:7" ht="52.5" thickTop="1" thickBot="1">
      <c r="A118" s="83" t="s">
        <v>355</v>
      </c>
      <c r="B118" s="99">
        <v>172749.79769599999</v>
      </c>
      <c r="C118" s="99">
        <v>370063.10397300002</v>
      </c>
      <c r="D118" s="94">
        <f t="shared" si="3"/>
        <v>542812.90166900004</v>
      </c>
      <c r="E118" s="7"/>
    </row>
    <row r="119" spans="1:7" ht="36" customHeight="1" thickTop="1" thickBot="1">
      <c r="A119" s="83" t="s">
        <v>356</v>
      </c>
      <c r="B119" s="99">
        <f>(B118/$D118)*100</f>
        <v>31.824924788051646</v>
      </c>
      <c r="C119" s="99">
        <f>(C118/$D118)*100</f>
        <v>68.175075211948354</v>
      </c>
      <c r="D119" s="94">
        <f t="shared" si="3"/>
        <v>100</v>
      </c>
      <c r="E119" s="10"/>
    </row>
    <row r="120" spans="1:7" ht="52.5" thickTop="1" thickBot="1">
      <c r="A120" s="83" t="s">
        <v>357</v>
      </c>
      <c r="B120" s="99">
        <v>181582.17609200001</v>
      </c>
      <c r="C120" s="99">
        <v>313384.297899</v>
      </c>
      <c r="D120" s="94">
        <f t="shared" si="3"/>
        <v>494966.47399099998</v>
      </c>
      <c r="E120" s="7"/>
    </row>
    <row r="121" spans="1:7" ht="39.950000000000003" customHeight="1" thickTop="1" thickBot="1">
      <c r="A121" s="83" t="s">
        <v>358</v>
      </c>
      <c r="B121" s="99">
        <f>(B120/$D120)*100</f>
        <v>36.685752598124807</v>
      </c>
      <c r="C121" s="99">
        <f>(C120/$D120)*100</f>
        <v>63.3142474018752</v>
      </c>
      <c r="D121" s="94">
        <f t="shared" si="3"/>
        <v>100</v>
      </c>
      <c r="E121" s="10"/>
    </row>
    <row r="122" spans="1:7" ht="52.5" thickTop="1" thickBot="1">
      <c r="A122" s="83" t="s">
        <v>359</v>
      </c>
      <c r="B122" s="99">
        <v>172450.54641099999</v>
      </c>
      <c r="C122" s="99">
        <v>322515.92758000002</v>
      </c>
      <c r="D122" s="94">
        <f t="shared" si="3"/>
        <v>494966.47399099998</v>
      </c>
      <c r="E122" s="7"/>
    </row>
    <row r="123" spans="1:7" ht="36" customHeight="1" thickTop="1" thickBot="1">
      <c r="A123" s="83" t="s">
        <v>360</v>
      </c>
      <c r="B123" s="99">
        <f>(B122/$D122)*100</f>
        <v>34.840853971482453</v>
      </c>
      <c r="C123" s="99">
        <f>(C122/$D122)*100</f>
        <v>65.159146028517554</v>
      </c>
      <c r="D123" s="94">
        <f t="shared" si="3"/>
        <v>100</v>
      </c>
      <c r="E123" s="10"/>
    </row>
    <row r="124" spans="1:7" ht="52.5" thickTop="1" thickBot="1">
      <c r="A124" s="83" t="s">
        <v>361</v>
      </c>
      <c r="B124" s="99">
        <v>181582.17609200001</v>
      </c>
      <c r="C124" s="99">
        <v>313384.297899</v>
      </c>
      <c r="D124" s="94">
        <f t="shared" si="3"/>
        <v>494966.47399099998</v>
      </c>
      <c r="E124" s="7"/>
    </row>
    <row r="125" spans="1:7" ht="39.950000000000003" customHeight="1" thickTop="1" thickBot="1">
      <c r="A125" s="83" t="s">
        <v>362</v>
      </c>
      <c r="B125" s="99">
        <f>(B124/$D124)*100</f>
        <v>36.685752598124807</v>
      </c>
      <c r="C125" s="99">
        <f>(C124/$D124)*100</f>
        <v>63.3142474018752</v>
      </c>
      <c r="D125" s="94">
        <f t="shared" si="3"/>
        <v>100</v>
      </c>
      <c r="E125" s="10"/>
    </row>
    <row r="126" spans="1:7" ht="52.5" thickTop="1" thickBot="1">
      <c r="A126" s="83" t="s">
        <v>363</v>
      </c>
      <c r="B126" s="99">
        <v>115726.495091</v>
      </c>
      <c r="C126" s="99">
        <v>247370.900826</v>
      </c>
      <c r="D126" s="94">
        <f t="shared" si="3"/>
        <v>363097.39591700002</v>
      </c>
      <c r="E126" s="7"/>
    </row>
    <row r="127" spans="1:7" ht="36" customHeight="1" thickTop="1" thickBot="1">
      <c r="A127" s="73" t="s">
        <v>364</v>
      </c>
      <c r="B127" s="114">
        <f>(B126/$D126)*100</f>
        <v>31.872025630680582</v>
      </c>
      <c r="C127" s="114">
        <f>(C126/$D126)*100</f>
        <v>68.127974369319418</v>
      </c>
      <c r="D127" s="142">
        <f t="shared" si="3"/>
        <v>100</v>
      </c>
      <c r="E127" s="10"/>
    </row>
    <row r="128" spans="1:7" ht="52.5" thickTop="1" thickBot="1">
      <c r="A128" s="83" t="s">
        <v>511</v>
      </c>
      <c r="B128" s="114">
        <v>121533.10838400001</v>
      </c>
      <c r="C128" s="114">
        <v>185630.33796199999</v>
      </c>
      <c r="D128" s="142">
        <f t="shared" si="3"/>
        <v>307163.44634600001</v>
      </c>
      <c r="G128" s="7"/>
    </row>
    <row r="129" spans="1:6" ht="39.75" thickTop="1" thickBot="1">
      <c r="A129" s="83" t="s">
        <v>512</v>
      </c>
      <c r="B129" s="114">
        <v>39.566266699293614</v>
      </c>
      <c r="C129" s="114">
        <v>60.433733300706379</v>
      </c>
      <c r="D129" s="142">
        <f t="shared" si="3"/>
        <v>100</v>
      </c>
      <c r="E129" s="139"/>
    </row>
    <row r="130" spans="1:6" ht="53.25" customHeight="1" thickTop="1" thickBot="1">
      <c r="A130" s="83" t="s">
        <v>513</v>
      </c>
      <c r="B130" s="114">
        <v>118283.18321</v>
      </c>
      <c r="C130" s="114">
        <v>188880.26313800001</v>
      </c>
      <c r="D130" s="142">
        <f t="shared" si="3"/>
        <v>307163.44634800003</v>
      </c>
      <c r="E130" s="18"/>
    </row>
    <row r="131" spans="1:6" ht="39.75" thickTop="1" thickBot="1">
      <c r="A131" s="73" t="s">
        <v>514</v>
      </c>
      <c r="B131" s="99">
        <v>38.508222451701293</v>
      </c>
      <c r="C131" s="99">
        <v>61.4917775482987</v>
      </c>
      <c r="D131" s="94">
        <f t="shared" si="3"/>
        <v>100</v>
      </c>
      <c r="E131" s="140"/>
      <c r="F131" s="140"/>
    </row>
    <row r="132" spans="1:6" ht="39" customHeight="1" thickTop="1" thickBot="1">
      <c r="A132" s="83" t="s">
        <v>428</v>
      </c>
      <c r="B132" s="99">
        <v>99819.880466000002</v>
      </c>
      <c r="C132" s="99">
        <v>169894.89589499999</v>
      </c>
      <c r="D132" s="94">
        <f t="shared" si="3"/>
        <v>269714.77636100003</v>
      </c>
      <c r="E132" s="140"/>
      <c r="F132" s="140"/>
    </row>
    <row r="133" spans="1:6" ht="40.5" customHeight="1" thickTop="1" thickBot="1">
      <c r="A133" s="83" t="s">
        <v>429</v>
      </c>
      <c r="B133" s="99">
        <v>37.00942225441738</v>
      </c>
      <c r="C133" s="99">
        <v>62.990577745582613</v>
      </c>
      <c r="D133" s="94">
        <f t="shared" si="3"/>
        <v>100</v>
      </c>
    </row>
    <row r="134" spans="1:6" ht="52.5" thickTop="1" thickBot="1">
      <c r="A134" s="83" t="s">
        <v>430</v>
      </c>
      <c r="B134" s="99">
        <v>100875.725142</v>
      </c>
      <c r="C134" s="99">
        <v>168839.051221</v>
      </c>
      <c r="D134" s="94">
        <f t="shared" si="3"/>
        <v>269714.77636299998</v>
      </c>
    </row>
    <row r="135" spans="1:6" ht="39.75" thickTop="1" thickBot="1">
      <c r="A135" s="83" t="s">
        <v>431</v>
      </c>
      <c r="B135" s="114">
        <v>37.400889377389802</v>
      </c>
      <c r="C135" s="114">
        <v>62.599110622610198</v>
      </c>
      <c r="D135" s="142">
        <f t="shared" si="3"/>
        <v>100</v>
      </c>
    </row>
    <row r="136" spans="1:6" ht="52.5" thickTop="1" thickBot="1">
      <c r="A136" s="83" t="s">
        <v>444</v>
      </c>
      <c r="B136" s="99">
        <v>109662.536186</v>
      </c>
      <c r="C136" s="99">
        <v>215349.584646</v>
      </c>
      <c r="D136" s="94">
        <f t="shared" ref="D136:D167" si="4">SUM(B136:C136)</f>
        <v>325012.12083199999</v>
      </c>
    </row>
    <row r="137" spans="1:6" ht="39.75" thickTop="1" thickBot="1">
      <c r="A137" s="83" t="s">
        <v>445</v>
      </c>
      <c r="B137" s="99">
        <v>33.741060458075957</v>
      </c>
      <c r="C137" s="99">
        <v>66.25893954192405</v>
      </c>
      <c r="D137" s="94">
        <f t="shared" si="4"/>
        <v>100</v>
      </c>
    </row>
    <row r="138" spans="1:6" ht="52.5" thickTop="1" thickBot="1">
      <c r="A138" s="83" t="s">
        <v>446</v>
      </c>
      <c r="B138" s="99">
        <v>111154.86796800001</v>
      </c>
      <c r="C138" s="99">
        <v>213857.252866</v>
      </c>
      <c r="D138" s="94">
        <f t="shared" si="4"/>
        <v>325012.120834</v>
      </c>
    </row>
    <row r="139" spans="1:6" ht="39.75" thickTop="1" thickBot="1">
      <c r="A139" s="73" t="s">
        <v>447</v>
      </c>
      <c r="B139" s="114">
        <v>34.200222343329891</v>
      </c>
      <c r="C139" s="114">
        <v>65.799777656670116</v>
      </c>
      <c r="D139" s="142">
        <f t="shared" si="4"/>
        <v>100</v>
      </c>
    </row>
    <row r="140" spans="1:6" ht="52.5" thickTop="1" thickBot="1">
      <c r="A140" s="83" t="s">
        <v>449</v>
      </c>
      <c r="B140" s="113">
        <v>151313.271289</v>
      </c>
      <c r="C140" s="113">
        <v>228155.658333</v>
      </c>
      <c r="D140" s="135">
        <f t="shared" si="4"/>
        <v>379468.92962199997</v>
      </c>
    </row>
    <row r="141" spans="1:6" ht="39.75" thickTop="1" thickBot="1">
      <c r="A141" s="83" t="s">
        <v>450</v>
      </c>
      <c r="B141" s="99">
        <v>39.875009382119252</v>
      </c>
      <c r="C141" s="99">
        <v>60.124990617880755</v>
      </c>
      <c r="D141" s="94">
        <f t="shared" si="4"/>
        <v>100</v>
      </c>
    </row>
    <row r="142" spans="1:6" ht="52.5" thickTop="1" thickBot="1">
      <c r="A142" s="83" t="s">
        <v>451</v>
      </c>
      <c r="B142" s="113">
        <v>147107.81149699999</v>
      </c>
      <c r="C142" s="113">
        <v>232361.11812299999</v>
      </c>
      <c r="D142" s="135">
        <f t="shared" si="4"/>
        <v>379468.92961999995</v>
      </c>
    </row>
    <row r="143" spans="1:6" ht="39.75" thickTop="1" thickBot="1">
      <c r="A143" s="73" t="s">
        <v>452</v>
      </c>
      <c r="B143" s="99">
        <v>38.766760599955759</v>
      </c>
      <c r="C143" s="99">
        <v>61.233239400044248</v>
      </c>
      <c r="D143" s="94">
        <f t="shared" si="4"/>
        <v>100</v>
      </c>
    </row>
    <row r="144" spans="1:6" ht="52.5" thickTop="1" thickBot="1">
      <c r="A144" s="83" t="s">
        <v>515</v>
      </c>
      <c r="B144" s="99">
        <v>148006.05926000001</v>
      </c>
      <c r="C144" s="99">
        <v>210920.04846200001</v>
      </c>
      <c r="D144" s="94">
        <f t="shared" si="4"/>
        <v>358926.10772199999</v>
      </c>
    </row>
    <row r="145" spans="1:4" ht="39.75" thickTop="1" thickBot="1">
      <c r="A145" s="83" t="s">
        <v>516</v>
      </c>
      <c r="B145" s="99">
        <v>41.235802042752361</v>
      </c>
      <c r="C145" s="99">
        <v>58.764197957247646</v>
      </c>
      <c r="D145" s="94">
        <f t="shared" si="4"/>
        <v>100</v>
      </c>
    </row>
    <row r="146" spans="1:4" ht="52.5" thickTop="1" thickBot="1">
      <c r="A146" s="83" t="s">
        <v>517</v>
      </c>
      <c r="B146" s="99">
        <v>149244.832218</v>
      </c>
      <c r="C146" s="99">
        <v>209681.275505</v>
      </c>
      <c r="D146" s="94">
        <f t="shared" si="4"/>
        <v>358926.10772299999</v>
      </c>
    </row>
    <row r="147" spans="1:4" ht="39.75" thickTop="1" thickBot="1">
      <c r="A147" s="73" t="s">
        <v>518</v>
      </c>
      <c r="B147" s="114">
        <v>41.580935186018621</v>
      </c>
      <c r="C147" s="114">
        <v>58.419064813981379</v>
      </c>
      <c r="D147" s="142">
        <f t="shared" si="4"/>
        <v>100</v>
      </c>
    </row>
    <row r="148" spans="1:4" ht="52.5" thickTop="1" thickBot="1">
      <c r="A148" s="83" t="s">
        <v>581</v>
      </c>
      <c r="B148" s="99">
        <v>218884.85621500001</v>
      </c>
      <c r="C148" s="99">
        <v>357003.217076</v>
      </c>
      <c r="D148" s="94">
        <f t="shared" si="4"/>
        <v>575888.07329099998</v>
      </c>
    </row>
    <row r="149" spans="1:4" ht="39.75" thickTop="1" thickBot="1">
      <c r="A149" s="83" t="s">
        <v>582</v>
      </c>
      <c r="B149" s="99">
        <v>38.008228745587523</v>
      </c>
      <c r="C149" s="99">
        <v>61.991771254412477</v>
      </c>
      <c r="D149" s="94">
        <f t="shared" si="4"/>
        <v>100</v>
      </c>
    </row>
    <row r="150" spans="1:4" ht="52.5" thickTop="1" thickBot="1">
      <c r="A150" s="83" t="s">
        <v>583</v>
      </c>
      <c r="B150" s="99">
        <v>220338.26233</v>
      </c>
      <c r="C150" s="99">
        <v>355549.81096099998</v>
      </c>
      <c r="D150" s="94">
        <f t="shared" si="4"/>
        <v>575888.07329099998</v>
      </c>
    </row>
    <row r="151" spans="1:4" ht="39.75" thickTop="1" thickBot="1">
      <c r="A151" s="73" t="s">
        <v>584</v>
      </c>
      <c r="B151" s="114">
        <v>38.260605237202341</v>
      </c>
      <c r="C151" s="114">
        <v>61.739394762797659</v>
      </c>
      <c r="D151" s="142">
        <f t="shared" si="4"/>
        <v>100</v>
      </c>
    </row>
    <row r="152" spans="1:4" ht="52.5" thickTop="1" thickBot="1">
      <c r="A152" s="83" t="s">
        <v>590</v>
      </c>
      <c r="B152" s="99">
        <v>225049.219338</v>
      </c>
      <c r="C152" s="99">
        <v>222428.72768700001</v>
      </c>
      <c r="D152" s="94">
        <f t="shared" si="4"/>
        <v>447477.947025</v>
      </c>
    </row>
    <row r="153" spans="1:4" ht="39.75" thickTop="1" thickBot="1">
      <c r="A153" s="83" t="s">
        <v>591</v>
      </c>
      <c r="B153" s="99">
        <v>50.292806792873478</v>
      </c>
      <c r="C153" s="99">
        <v>49.707193207126522</v>
      </c>
      <c r="D153" s="94">
        <f t="shared" si="4"/>
        <v>100</v>
      </c>
    </row>
    <row r="154" spans="1:4" ht="52.5" thickTop="1" thickBot="1">
      <c r="A154" s="83" t="s">
        <v>592</v>
      </c>
      <c r="B154" s="99">
        <v>242622.68688299999</v>
      </c>
      <c r="C154" s="99">
        <v>204855.26014200001</v>
      </c>
      <c r="D154" s="94">
        <f t="shared" si="4"/>
        <v>447477.947025</v>
      </c>
    </row>
    <row r="155" spans="1:4" ht="39.75" thickTop="1" thickBot="1">
      <c r="A155" s="73" t="s">
        <v>593</v>
      </c>
      <c r="B155" s="114">
        <v>54.220032181707708</v>
      </c>
      <c r="C155" s="114">
        <v>45.779967818292292</v>
      </c>
      <c r="D155" s="142">
        <f t="shared" si="4"/>
        <v>100</v>
      </c>
    </row>
    <row r="156" spans="1:4" ht="52.5" thickTop="1" thickBot="1">
      <c r="A156" s="83" t="s">
        <v>599</v>
      </c>
      <c r="B156" s="99">
        <v>192406.337008</v>
      </c>
      <c r="C156" s="99">
        <v>253349.808781</v>
      </c>
      <c r="D156" s="94">
        <f t="shared" si="4"/>
        <v>445756.14578899997</v>
      </c>
    </row>
    <row r="157" spans="1:4" ht="39.75" thickTop="1" thickBot="1">
      <c r="A157" s="83" t="s">
        <v>600</v>
      </c>
      <c r="B157" s="99">
        <v>43.164034601796857</v>
      </c>
      <c r="C157" s="99">
        <v>56.83596539820315</v>
      </c>
      <c r="D157" s="94">
        <f t="shared" si="4"/>
        <v>100</v>
      </c>
    </row>
    <row r="158" spans="1:4" ht="52.5" thickTop="1" thickBot="1">
      <c r="A158" s="83" t="s">
        <v>601</v>
      </c>
      <c r="B158" s="99">
        <v>190970.63745499999</v>
      </c>
      <c r="C158" s="99">
        <v>254785.50833300001</v>
      </c>
      <c r="D158" s="94">
        <f t="shared" si="4"/>
        <v>445756.14578799997</v>
      </c>
    </row>
    <row r="159" spans="1:4" ht="39.75" thickTop="1" thickBot="1">
      <c r="A159" s="73" t="s">
        <v>602</v>
      </c>
      <c r="B159" s="114">
        <v>42.841952771600134</v>
      </c>
      <c r="C159" s="114">
        <v>57.158047228399866</v>
      </c>
      <c r="D159" s="142">
        <f t="shared" si="4"/>
        <v>100</v>
      </c>
    </row>
    <row r="160" spans="1:4" ht="52.5" thickTop="1" thickBot="1">
      <c r="A160" s="83" t="s">
        <v>607</v>
      </c>
      <c r="B160" s="99">
        <v>185235.89</v>
      </c>
      <c r="C160" s="99">
        <v>207974.48</v>
      </c>
      <c r="D160" s="94">
        <f t="shared" si="4"/>
        <v>393210.37</v>
      </c>
    </row>
    <row r="161" spans="1:4" ht="39.75" thickTop="1" thickBot="1">
      <c r="A161" s="83" t="s">
        <v>608</v>
      </c>
      <c r="B161" s="99">
        <v>47.11</v>
      </c>
      <c r="C161" s="99">
        <v>52.89</v>
      </c>
      <c r="D161" s="94">
        <f t="shared" si="4"/>
        <v>100</v>
      </c>
    </row>
    <row r="162" spans="1:4" ht="52.5" thickTop="1" thickBot="1">
      <c r="A162" s="83" t="s">
        <v>609</v>
      </c>
      <c r="B162" s="99">
        <v>180726.59</v>
      </c>
      <c r="C162" s="99">
        <v>212483.78</v>
      </c>
      <c r="D162" s="94">
        <f t="shared" si="4"/>
        <v>393210.37</v>
      </c>
    </row>
    <row r="163" spans="1:4" ht="39.75" thickTop="1" thickBot="1">
      <c r="A163" s="73" t="s">
        <v>606</v>
      </c>
      <c r="B163" s="114">
        <v>45.96</v>
      </c>
      <c r="C163" s="114">
        <v>54.04</v>
      </c>
      <c r="D163" s="142">
        <f t="shared" si="4"/>
        <v>100</v>
      </c>
    </row>
    <row r="164" spans="1:4" ht="52.5" thickTop="1" thickBot="1">
      <c r="A164" s="83" t="s">
        <v>619</v>
      </c>
      <c r="B164" s="99">
        <v>173537.55</v>
      </c>
      <c r="C164" s="99">
        <v>189049.02</v>
      </c>
      <c r="D164" s="94">
        <f t="shared" si="4"/>
        <v>362586.56999999995</v>
      </c>
    </row>
    <row r="165" spans="1:4" ht="39.75" thickTop="1" thickBot="1">
      <c r="A165" s="83" t="s">
        <v>620</v>
      </c>
      <c r="B165" s="99">
        <v>47.86</v>
      </c>
      <c r="C165" s="99">
        <v>52.14</v>
      </c>
      <c r="D165" s="142">
        <f t="shared" si="4"/>
        <v>100</v>
      </c>
    </row>
    <row r="166" spans="1:4" ht="52.5" thickTop="1" thickBot="1">
      <c r="A166" s="83" t="s">
        <v>621</v>
      </c>
      <c r="B166" s="99">
        <v>172909.21</v>
      </c>
      <c r="C166" s="99">
        <v>189677.36</v>
      </c>
      <c r="D166" s="94">
        <f t="shared" si="4"/>
        <v>362586.56999999995</v>
      </c>
    </row>
    <row r="167" spans="1:4" ht="39.75" thickTop="1" thickBot="1">
      <c r="A167" s="73" t="s">
        <v>622</v>
      </c>
      <c r="B167" s="114">
        <v>47.69</v>
      </c>
      <c r="C167" s="114">
        <v>52.31</v>
      </c>
      <c r="D167" s="142">
        <f t="shared" si="4"/>
        <v>100</v>
      </c>
    </row>
    <row r="168" spans="1:4" ht="52.5" thickTop="1" thickBot="1">
      <c r="A168" s="83" t="s">
        <v>626</v>
      </c>
      <c r="B168" s="99">
        <v>169956.055777</v>
      </c>
      <c r="C168" s="99">
        <v>155549.40536199999</v>
      </c>
      <c r="D168" s="94">
        <v>325505.46113900002</v>
      </c>
    </row>
    <row r="169" spans="1:4" ht="39.75" thickTop="1" thickBot="1">
      <c r="A169" s="83" t="s">
        <v>627</v>
      </c>
      <c r="B169" s="99">
        <v>52.212966007480887</v>
      </c>
      <c r="C169" s="99">
        <v>47.787033992519099</v>
      </c>
      <c r="D169" s="94">
        <v>100</v>
      </c>
    </row>
    <row r="170" spans="1:4" ht="52.5" thickTop="1" thickBot="1">
      <c r="A170" s="83" t="s">
        <v>628</v>
      </c>
      <c r="B170" s="99">
        <v>156966.939667</v>
      </c>
      <c r="C170" s="99">
        <v>168538.521473</v>
      </c>
      <c r="D170" s="94">
        <v>325505.46114000003</v>
      </c>
    </row>
    <row r="171" spans="1:4" ht="39.75" thickTop="1" thickBot="1">
      <c r="A171" s="73" t="s">
        <v>629</v>
      </c>
      <c r="B171" s="114">
        <v>48.222521096040374</v>
      </c>
      <c r="C171" s="114">
        <v>51.777478903959619</v>
      </c>
      <c r="D171" s="142">
        <v>100</v>
      </c>
    </row>
    <row r="172" spans="1:4" ht="52.5" thickTop="1" thickBot="1">
      <c r="A172" s="83" t="s">
        <v>699</v>
      </c>
      <c r="B172" s="99">
        <v>172635.62617599999</v>
      </c>
      <c r="C172" s="99">
        <v>153387.47232299999</v>
      </c>
      <c r="D172" s="94">
        <v>326023.09849899996</v>
      </c>
    </row>
    <row r="173" spans="1:4" ht="39.75" thickTop="1" thickBot="1">
      <c r="A173" s="83" t="s">
        <v>700</v>
      </c>
      <c r="B173" s="99">
        <v>52.951961677196792</v>
      </c>
      <c r="C173" s="99">
        <v>47.048038322803222</v>
      </c>
      <c r="D173" s="94">
        <v>100</v>
      </c>
    </row>
    <row r="174" spans="1:4" ht="52.5" thickTop="1" thickBot="1">
      <c r="A174" s="83" t="s">
        <v>701</v>
      </c>
      <c r="B174" s="99">
        <v>172131.02955400001</v>
      </c>
      <c r="C174" s="99">
        <v>153892.068944</v>
      </c>
      <c r="D174" s="94">
        <v>326023.09849800001</v>
      </c>
    </row>
    <row r="175" spans="1:4" ht="39.75" thickTop="1" thickBot="1">
      <c r="A175" s="83" t="s">
        <v>702</v>
      </c>
      <c r="B175" s="99">
        <v>52.797188403832052</v>
      </c>
      <c r="C175" s="99">
        <v>47.202811596167948</v>
      </c>
      <c r="D175" s="94">
        <v>100</v>
      </c>
    </row>
    <row r="176" spans="1:4" ht="52.5" thickTop="1" thickBot="1">
      <c r="A176" s="83" t="s">
        <v>703</v>
      </c>
      <c r="B176" s="99">
        <v>162312.607705</v>
      </c>
      <c r="C176" s="99">
        <v>122805.36926000001</v>
      </c>
      <c r="D176" s="94">
        <v>285117.97696500004</v>
      </c>
    </row>
    <row r="177" spans="1:4" ht="39.75" thickTop="1" thickBot="1">
      <c r="A177" s="83" t="s">
        <v>704</v>
      </c>
      <c r="B177" s="99">
        <v>56.928226495141296</v>
      </c>
      <c r="C177" s="99">
        <v>43.071773504858697</v>
      </c>
      <c r="D177" s="94">
        <v>100</v>
      </c>
    </row>
    <row r="178" spans="1:4" ht="52.5" thickTop="1" thickBot="1">
      <c r="A178" s="83" t="s">
        <v>705</v>
      </c>
      <c r="B178" s="99">
        <v>159647.53834599999</v>
      </c>
      <c r="C178" s="99">
        <v>125470.43861700001</v>
      </c>
      <c r="D178" s="94">
        <v>285117.97696300002</v>
      </c>
    </row>
    <row r="179" spans="1:4" ht="39" thickTop="1">
      <c r="A179" s="73" t="s">
        <v>706</v>
      </c>
      <c r="B179" s="114">
        <v>55.993501373193865</v>
      </c>
      <c r="C179" s="114">
        <v>44.00649862680612</v>
      </c>
      <c r="D179" s="142">
        <v>100</v>
      </c>
    </row>
    <row r="184" spans="1:4">
      <c r="A184" s="12" t="s">
        <v>47</v>
      </c>
    </row>
    <row r="185" spans="1:4">
      <c r="A185" s="12" t="s">
        <v>0</v>
      </c>
    </row>
    <row r="187" spans="1:4">
      <c r="D187" s="14" t="s">
        <v>20</v>
      </c>
    </row>
    <row r="188" spans="1:4">
      <c r="D188" s="141" t="s">
        <v>21</v>
      </c>
    </row>
  </sheetData>
  <mergeCells count="1">
    <mergeCell ref="B5:D5"/>
  </mergeCells>
  <pageMargins left="0.7" right="0.7" top="0.75" bottom="0.75" header="0.3" footer="0.3"/>
  <pageSetup paperSize="9" orientation="portrait" r:id="rId1"/>
  <headerFooter>
    <oddFooter>&amp;C&amp;"Calibri"&amp;11&amp;K000000&amp;"Calibri"&amp;11&amp;K000000&amp;"Calibri"&amp;11&amp;K000000&amp;10&amp;K663300Classification: &amp;K000000 Internal  داخلي_x000D_&amp;1#&amp;"Calibri"&amp;10&amp;K000000Internal - داخلي</oddFooter>
    <evenFooter>&amp;C&amp;10&amp;K663300Classification: &amp;K000000 Internal  داخلي</evenFooter>
    <firstFooter>&amp;C&amp;10&amp;K663300Classification: &amp;K000000 Internal  داخلي</first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">
    <pageSetUpPr autoPageBreaks="0"/>
  </sheetPr>
  <dimension ref="A1:N60"/>
  <sheetViews>
    <sheetView showGridLines="0" rightToLeft="1" topLeftCell="B34" zoomScale="85" zoomScaleNormal="85" workbookViewId="0">
      <selection activeCell="C51" sqref="C51"/>
    </sheetView>
  </sheetViews>
  <sheetFormatPr defaultColWidth="9.140625" defaultRowHeight="15"/>
  <cols>
    <col min="1" max="1" width="24.42578125" style="26" customWidth="1"/>
    <col min="2" max="2" width="17" style="26" customWidth="1"/>
    <col min="3" max="3" width="15.42578125" style="26" customWidth="1"/>
    <col min="4" max="4" width="18.42578125" style="26" customWidth="1"/>
    <col min="5" max="5" width="15.42578125" style="26" customWidth="1"/>
    <col min="6" max="7" width="13.42578125" style="26" customWidth="1"/>
    <col min="8" max="8" width="17" style="26" customWidth="1"/>
    <col min="9" max="9" width="15.42578125" style="26" customWidth="1"/>
    <col min="10" max="10" width="16.42578125" style="26" customWidth="1"/>
    <col min="11" max="11" width="15.42578125" style="26" customWidth="1"/>
    <col min="12" max="12" width="18" style="26" customWidth="1"/>
    <col min="13" max="13" width="14.42578125" style="26" customWidth="1"/>
    <col min="14" max="14" width="9.140625" style="26"/>
    <col min="15" max="15" width="20.42578125" style="26" bestFit="1" customWidth="1"/>
    <col min="16" max="16" width="9.140625" style="26"/>
    <col min="17" max="17" width="12.140625" style="26" bestFit="1" customWidth="1"/>
    <col min="18" max="16384" width="9.140625" style="26"/>
  </cols>
  <sheetData>
    <row r="1" spans="1:12" ht="15" customHeight="1">
      <c r="B1" s="28"/>
      <c r="C1" s="28"/>
      <c r="D1" s="28"/>
    </row>
    <row r="2" spans="1:12" ht="15" customHeight="1">
      <c r="A2" s="29"/>
      <c r="B2" s="29"/>
      <c r="C2" s="29"/>
      <c r="D2" s="29"/>
      <c r="E2" s="29"/>
      <c r="F2" s="29"/>
      <c r="G2" s="29"/>
      <c r="H2" s="29"/>
      <c r="I2" s="30"/>
    </row>
    <row r="3" spans="1:12" ht="15" customHeight="1">
      <c r="A3" s="29"/>
      <c r="B3" s="29"/>
      <c r="C3" s="29"/>
      <c r="D3" s="29"/>
      <c r="E3" s="29"/>
      <c r="F3" s="29"/>
      <c r="G3" s="29"/>
      <c r="H3" s="29"/>
      <c r="I3" s="30"/>
    </row>
    <row r="4" spans="1:12" ht="24" customHeight="1"/>
    <row r="5" spans="1:12" ht="76.5" customHeight="1">
      <c r="D5" s="191" t="s">
        <v>669</v>
      </c>
      <c r="E5" s="191"/>
      <c r="F5" s="191"/>
      <c r="G5" s="191"/>
      <c r="H5" s="191"/>
      <c r="J5" s="70"/>
      <c r="K5" s="70"/>
      <c r="L5" s="70"/>
    </row>
    <row r="6" spans="1:12" ht="36" customHeight="1"/>
    <row r="7" spans="1:12" ht="36" customHeight="1"/>
    <row r="8" spans="1:12" ht="120.75" thickBot="1">
      <c r="A8" s="176" t="s">
        <v>105</v>
      </c>
      <c r="B8" s="102" t="s">
        <v>106</v>
      </c>
      <c r="C8" s="102" t="s">
        <v>107</v>
      </c>
      <c r="D8" s="102" t="s">
        <v>108</v>
      </c>
      <c r="E8" s="102" t="s">
        <v>109</v>
      </c>
      <c r="F8" s="102" t="s">
        <v>110</v>
      </c>
      <c r="G8" s="102" t="s">
        <v>690</v>
      </c>
      <c r="H8" s="102" t="s">
        <v>111</v>
      </c>
      <c r="I8" s="102" t="s">
        <v>112</v>
      </c>
      <c r="J8" s="102" t="s">
        <v>113</v>
      </c>
    </row>
    <row r="9" spans="1:12" ht="30" customHeight="1" thickTop="1" thickBot="1">
      <c r="A9" s="69" t="s">
        <v>41</v>
      </c>
      <c r="B9" s="99">
        <v>9086.89</v>
      </c>
      <c r="C9" s="99">
        <v>1043749.5</v>
      </c>
      <c r="D9" s="99">
        <v>2013464</v>
      </c>
      <c r="E9" s="99">
        <v>878103</v>
      </c>
      <c r="F9" s="101">
        <v>171</v>
      </c>
      <c r="G9" s="101" t="s">
        <v>6</v>
      </c>
      <c r="H9" s="99">
        <v>8154.29</v>
      </c>
      <c r="I9" s="31">
        <v>16.899999999999999</v>
      </c>
      <c r="J9" s="31">
        <v>2.2000000000000002</v>
      </c>
      <c r="L9" s="32"/>
    </row>
    <row r="10" spans="1:12" ht="30" customHeight="1" thickTop="1" thickBot="1">
      <c r="A10" s="69" t="s">
        <v>32</v>
      </c>
      <c r="B10" s="99">
        <v>7404.14</v>
      </c>
      <c r="C10" s="99">
        <v>280100</v>
      </c>
      <c r="D10" s="99">
        <v>1667043</v>
      </c>
      <c r="E10" s="99">
        <v>724697</v>
      </c>
      <c r="F10" s="81">
        <v>171</v>
      </c>
      <c r="G10" s="101" t="s">
        <v>6</v>
      </c>
      <c r="H10" s="99">
        <v>4914</v>
      </c>
      <c r="I10" s="99">
        <v>14.1</v>
      </c>
      <c r="J10" s="99">
        <v>1.8</v>
      </c>
      <c r="L10" s="33"/>
    </row>
    <row r="11" spans="1:12" ht="30" customHeight="1" thickTop="1" thickBot="1">
      <c r="A11" s="69" t="s">
        <v>573</v>
      </c>
      <c r="B11" s="99">
        <v>6911.76</v>
      </c>
      <c r="C11" s="99">
        <v>336772.22</v>
      </c>
      <c r="D11" s="99">
        <v>1579059.46</v>
      </c>
      <c r="E11" s="99">
        <v>676206.19</v>
      </c>
      <c r="F11" s="81">
        <v>171</v>
      </c>
      <c r="G11" s="101" t="s">
        <v>6</v>
      </c>
      <c r="H11" s="99">
        <v>5102.6099999999997</v>
      </c>
      <c r="I11" s="99">
        <v>13.8</v>
      </c>
      <c r="J11" s="99">
        <v>1.67</v>
      </c>
    </row>
    <row r="12" spans="1:12" ht="30" customHeight="1" thickTop="1" thickBot="1">
      <c r="A12" s="69" t="s">
        <v>33</v>
      </c>
      <c r="B12" s="99">
        <v>6223.13</v>
      </c>
      <c r="C12" s="99">
        <v>368335.41704815003</v>
      </c>
      <c r="D12" s="99">
        <v>1437627.9551108601</v>
      </c>
      <c r="E12" s="99">
        <v>611564.52578425012</v>
      </c>
      <c r="F12" s="81">
        <v>173</v>
      </c>
      <c r="G12" s="101" t="s">
        <v>6</v>
      </c>
      <c r="H12" s="99">
        <v>5666.6987238176935</v>
      </c>
      <c r="I12" s="99">
        <v>13.32</v>
      </c>
      <c r="J12" s="99">
        <v>1.63</v>
      </c>
    </row>
    <row r="13" spans="1:12" ht="30" customHeight="1" thickTop="1" thickBot="1">
      <c r="A13" s="69" t="s">
        <v>34</v>
      </c>
      <c r="B13" s="99">
        <v>6499.88</v>
      </c>
      <c r="C13" s="99">
        <v>319856.93269460002</v>
      </c>
      <c r="D13" s="99">
        <v>1504346.2988318</v>
      </c>
      <c r="E13" s="99">
        <v>638213.73638249026</v>
      </c>
      <c r="F13" s="81">
        <v>175</v>
      </c>
      <c r="G13" s="101" t="s">
        <v>6</v>
      </c>
      <c r="H13" s="99">
        <v>4920.8758876092306</v>
      </c>
      <c r="I13" s="99">
        <v>12.81</v>
      </c>
      <c r="J13" s="99">
        <v>1.5</v>
      </c>
    </row>
    <row r="14" spans="1:12" ht="30" customHeight="1" thickTop="1" thickBot="1">
      <c r="A14" s="69" t="s">
        <v>35</v>
      </c>
      <c r="B14" s="99">
        <v>5623.34</v>
      </c>
      <c r="C14" s="99">
        <v>169170.95</v>
      </c>
      <c r="D14" s="99">
        <v>1325367.77</v>
      </c>
      <c r="E14" s="99">
        <v>551476.35</v>
      </c>
      <c r="F14" s="81">
        <v>175</v>
      </c>
      <c r="G14" s="101" t="s">
        <v>6</v>
      </c>
      <c r="H14" s="99">
        <v>3132.8</v>
      </c>
      <c r="I14" s="99">
        <v>13.29</v>
      </c>
      <c r="J14" s="99">
        <v>1.46</v>
      </c>
    </row>
    <row r="15" spans="1:12" ht="30" customHeight="1" thickTop="1" thickBot="1">
      <c r="A15" s="69" t="s">
        <v>574</v>
      </c>
      <c r="B15" s="99">
        <v>7210.43</v>
      </c>
      <c r="C15" s="99">
        <v>299623.78999999998</v>
      </c>
      <c r="D15" s="99">
        <v>1681949.55</v>
      </c>
      <c r="E15" s="99">
        <v>707556.2</v>
      </c>
      <c r="F15" s="81">
        <v>176</v>
      </c>
      <c r="G15" s="101" t="s">
        <v>6</v>
      </c>
      <c r="H15" s="99">
        <v>4609.6000000000004</v>
      </c>
      <c r="I15" s="99">
        <v>16.170000000000002</v>
      </c>
      <c r="J15" s="99">
        <v>1.68</v>
      </c>
    </row>
    <row r="16" spans="1:12" ht="30" customHeight="1" thickTop="1" thickBot="1">
      <c r="A16" s="69" t="s">
        <v>42</v>
      </c>
      <c r="B16" s="99">
        <v>7001.63</v>
      </c>
      <c r="C16" s="99">
        <v>251484.71550320002</v>
      </c>
      <c r="D16" s="99">
        <v>1638044.3956335501</v>
      </c>
      <c r="E16" s="99">
        <v>688645.65560985985</v>
      </c>
      <c r="F16" s="81">
        <v>177</v>
      </c>
      <c r="G16" s="101" t="s">
        <v>6</v>
      </c>
      <c r="H16" s="99">
        <v>3868.9956231199999</v>
      </c>
      <c r="I16" s="99">
        <v>14.56</v>
      </c>
      <c r="J16" s="99">
        <v>1.65</v>
      </c>
    </row>
    <row r="17" spans="1:14" ht="30" customHeight="1" thickTop="1" thickBot="1">
      <c r="A17" s="69" t="s">
        <v>36</v>
      </c>
      <c r="B17" s="99">
        <v>7425.72</v>
      </c>
      <c r="C17" s="99">
        <v>184701.47140591001</v>
      </c>
      <c r="D17" s="99">
        <v>1763991.453977</v>
      </c>
      <c r="E17" s="99">
        <v>748616.0041418497</v>
      </c>
      <c r="F17" s="81">
        <v>175</v>
      </c>
      <c r="G17" s="101" t="s">
        <v>6</v>
      </c>
      <c r="H17" s="99">
        <v>3078.3578567651666</v>
      </c>
      <c r="I17" s="99">
        <v>16.09</v>
      </c>
      <c r="J17" s="99">
        <v>1.78</v>
      </c>
    </row>
    <row r="18" spans="1:14" ht="30" customHeight="1" thickTop="1" thickBot="1">
      <c r="A18" s="69" t="s">
        <v>37</v>
      </c>
      <c r="B18" s="99">
        <v>7283.01</v>
      </c>
      <c r="C18" s="99">
        <v>170867.44</v>
      </c>
      <c r="D18" s="99">
        <v>1721210.3</v>
      </c>
      <c r="E18" s="99">
        <v>729370.82</v>
      </c>
      <c r="F18" s="81">
        <v>177</v>
      </c>
      <c r="G18" s="101" t="s">
        <v>6</v>
      </c>
      <c r="H18" s="99">
        <v>2896.06</v>
      </c>
      <c r="I18" s="99">
        <v>15.42</v>
      </c>
      <c r="J18" s="99">
        <v>1.7</v>
      </c>
    </row>
    <row r="19" spans="1:14" ht="30" customHeight="1" thickTop="1" thickBot="1">
      <c r="A19" s="69" t="s">
        <v>575</v>
      </c>
      <c r="B19" s="99">
        <v>7226.32</v>
      </c>
      <c r="C19" s="99">
        <v>229221.51</v>
      </c>
      <c r="D19" s="99">
        <v>1689603</v>
      </c>
      <c r="E19" s="99">
        <v>722833.55</v>
      </c>
      <c r="F19" s="81">
        <v>179</v>
      </c>
      <c r="G19" s="101" t="s">
        <v>6</v>
      </c>
      <c r="H19" s="99">
        <v>3473.05</v>
      </c>
      <c r="I19" s="34">
        <v>14.6</v>
      </c>
      <c r="J19" s="34">
        <v>1.65</v>
      </c>
    </row>
    <row r="20" spans="1:14" ht="30" customHeight="1" thickTop="1" thickBot="1">
      <c r="A20" s="69" t="s">
        <v>38</v>
      </c>
      <c r="B20" s="99">
        <v>7870.87</v>
      </c>
      <c r="C20" s="99">
        <f>237278323296.44/1000000</f>
        <v>237278.32329644001</v>
      </c>
      <c r="D20" s="99">
        <f>1869596825824.08/1000000</f>
        <v>1869596.82582408</v>
      </c>
      <c r="E20" s="99">
        <v>795526.85860714992</v>
      </c>
      <c r="F20" s="81">
        <v>184</v>
      </c>
      <c r="G20" s="101" t="s">
        <v>6</v>
      </c>
      <c r="H20" s="99">
        <f>3707473801.51/1000000</f>
        <v>3707.4738015100002</v>
      </c>
      <c r="I20" s="34">
        <v>16.927719126639975</v>
      </c>
      <c r="J20" s="34">
        <v>1.8348560760895007</v>
      </c>
    </row>
    <row r="21" spans="1:14" ht="30" customHeight="1" thickTop="1" thickBot="1">
      <c r="A21" s="69" t="s">
        <v>44</v>
      </c>
      <c r="B21" s="99">
        <v>8314.19</v>
      </c>
      <c r="C21" s="99">
        <v>238300.31</v>
      </c>
      <c r="D21" s="99">
        <v>1982312.45</v>
      </c>
      <c r="E21" s="99">
        <v>842104.98</v>
      </c>
      <c r="F21" s="81">
        <v>185</v>
      </c>
      <c r="G21" s="101" t="s">
        <v>6</v>
      </c>
      <c r="H21" s="99">
        <v>3971.67</v>
      </c>
      <c r="I21" s="34">
        <v>17.16</v>
      </c>
      <c r="J21" s="34">
        <v>1.94</v>
      </c>
      <c r="N21" s="35"/>
    </row>
    <row r="22" spans="1:14" ht="30" customHeight="1" thickTop="1" thickBot="1">
      <c r="A22" s="69" t="s">
        <v>45</v>
      </c>
      <c r="B22" s="99">
        <v>7999.54</v>
      </c>
      <c r="C22" s="99">
        <v>177227.6428444999</v>
      </c>
      <c r="D22" s="99">
        <v>1899526.9314160701</v>
      </c>
      <c r="E22" s="99">
        <v>817994.18629224005</v>
      </c>
      <c r="F22" s="81">
        <v>188</v>
      </c>
      <c r="G22" s="101" t="s">
        <v>6</v>
      </c>
      <c r="H22" s="99">
        <v>3003.8583532966086</v>
      </c>
      <c r="I22" s="34">
        <v>16.43</v>
      </c>
      <c r="J22" s="34">
        <v>1.86</v>
      </c>
    </row>
    <row r="23" spans="1:14" ht="30" customHeight="1" thickTop="1" thickBot="1">
      <c r="A23" s="69" t="s">
        <v>576</v>
      </c>
      <c r="B23" s="99">
        <v>7826.73</v>
      </c>
      <c r="C23" s="99">
        <v>218063.40749000001</v>
      </c>
      <c r="D23" s="99">
        <v>1858950.2642681699</v>
      </c>
      <c r="E23" s="99">
        <v>796025.39154198999</v>
      </c>
      <c r="F23" s="81">
        <v>190</v>
      </c>
      <c r="G23" s="101" t="s">
        <v>6</v>
      </c>
      <c r="H23" s="99">
        <v>3303.9910225799999</v>
      </c>
      <c r="I23" s="34">
        <v>15.75</v>
      </c>
      <c r="J23" s="34">
        <v>1.8</v>
      </c>
    </row>
    <row r="24" spans="1:14" ht="30" customHeight="1" thickTop="1" thickBot="1">
      <c r="A24" s="69" t="s">
        <v>39</v>
      </c>
      <c r="B24" s="99">
        <v>8819.44</v>
      </c>
      <c r="C24" s="99">
        <v>176957.03076198002</v>
      </c>
      <c r="D24" s="99">
        <v>2087008.75743594</v>
      </c>
      <c r="E24" s="99">
        <v>898657.32233297999</v>
      </c>
      <c r="F24" s="81">
        <v>191</v>
      </c>
      <c r="G24" s="101" t="s">
        <v>6</v>
      </c>
      <c r="H24" s="99">
        <v>2764.95360566</v>
      </c>
      <c r="I24" s="31">
        <v>17.8</v>
      </c>
      <c r="J24" s="101">
        <v>2.02</v>
      </c>
    </row>
    <row r="25" spans="1:14" ht="30" customHeight="1" thickTop="1" thickBot="1">
      <c r="A25" s="69" t="s">
        <v>40</v>
      </c>
      <c r="B25" s="99">
        <v>8821.76</v>
      </c>
      <c r="C25" s="99">
        <v>262000.60617673001</v>
      </c>
      <c r="D25" s="99">
        <v>2081077.81</v>
      </c>
      <c r="E25" s="99">
        <v>984094.31339610007</v>
      </c>
      <c r="F25" s="81">
        <v>192</v>
      </c>
      <c r="G25" s="101" t="s">
        <v>6</v>
      </c>
      <c r="H25" s="99">
        <v>3539.98094305</v>
      </c>
      <c r="I25" s="31">
        <v>18.07</v>
      </c>
      <c r="J25" s="31">
        <v>1.95</v>
      </c>
    </row>
    <row r="26" spans="1:14" ht="30" customHeight="1" thickTop="1" thickBot="1">
      <c r="A26" s="69" t="s">
        <v>48</v>
      </c>
      <c r="B26" s="99">
        <v>8091.76</v>
      </c>
      <c r="C26" s="99">
        <v>208633.94980162999</v>
      </c>
      <c r="D26" s="99">
        <v>1908447.53339716</v>
      </c>
      <c r="E26" s="99">
        <v>908606.06340843032</v>
      </c>
      <c r="F26" s="81">
        <v>193</v>
      </c>
      <c r="G26" s="101" t="s">
        <v>6</v>
      </c>
      <c r="H26" s="99">
        <v>3519.51949315</v>
      </c>
      <c r="I26" s="31">
        <v>18.93</v>
      </c>
      <c r="J26" s="31">
        <v>1.81</v>
      </c>
    </row>
    <row r="27" spans="1:14" ht="30" customHeight="1" thickTop="1" thickBot="1">
      <c r="A27" s="69" t="s">
        <v>577</v>
      </c>
      <c r="B27" s="99">
        <v>8389.23</v>
      </c>
      <c r="C27" s="99">
        <v>232547.48805031</v>
      </c>
      <c r="D27" s="99">
        <v>9025438.6693408489</v>
      </c>
      <c r="E27" s="99">
        <v>1216255.7486782905</v>
      </c>
      <c r="F27" s="81">
        <v>199</v>
      </c>
      <c r="G27" s="101" t="s">
        <v>6</v>
      </c>
      <c r="H27" s="99">
        <v>3523.4467886399998</v>
      </c>
      <c r="I27" s="31">
        <v>19.510000000000002</v>
      </c>
      <c r="J27" s="31">
        <v>1.8</v>
      </c>
    </row>
    <row r="28" spans="1:14" ht="30" customHeight="1" thickTop="1" thickBot="1">
      <c r="A28" s="69" t="s">
        <v>50</v>
      </c>
      <c r="B28" s="99">
        <v>6505.35</v>
      </c>
      <c r="C28" s="99">
        <v>272916.32895558001</v>
      </c>
      <c r="D28" s="99">
        <f>7561968365701.89/1000000</f>
        <v>7561968.3657018896</v>
      </c>
      <c r="E28" s="99">
        <v>1016212.5710535097</v>
      </c>
      <c r="F28" s="81">
        <v>199</v>
      </c>
      <c r="G28" s="101" t="s">
        <v>6</v>
      </c>
      <c r="H28" s="99">
        <v>4198.7127531599999</v>
      </c>
      <c r="I28" s="31">
        <v>16.34</v>
      </c>
      <c r="J28" s="31">
        <v>3.6</v>
      </c>
    </row>
    <row r="29" spans="1:14" ht="30" customHeight="1" thickTop="1" thickBot="1">
      <c r="A29" s="69" t="s">
        <v>54</v>
      </c>
      <c r="B29" s="99">
        <v>7224.09</v>
      </c>
      <c r="C29" s="99">
        <v>552288.41712242004</v>
      </c>
      <c r="D29" s="99">
        <v>8233154.4336528797</v>
      </c>
      <c r="E29" s="99">
        <v>1079799.69</v>
      </c>
      <c r="F29" s="81">
        <v>200</v>
      </c>
      <c r="G29" s="101" t="s">
        <v>6</v>
      </c>
      <c r="H29" s="99">
        <f>6601637968.62/1000000</f>
        <v>6601.6379686199998</v>
      </c>
      <c r="I29" s="31">
        <v>20.73</v>
      </c>
      <c r="J29" s="31">
        <v>3.88</v>
      </c>
    </row>
    <row r="30" spans="1:14" ht="30" customHeight="1" thickTop="1" thickBot="1">
      <c r="A30" s="69" t="s">
        <v>55</v>
      </c>
      <c r="B30" s="99">
        <v>8299.08</v>
      </c>
      <c r="C30" s="99">
        <v>529252.84115282004</v>
      </c>
      <c r="D30" s="99">
        <v>9130186.5891937502</v>
      </c>
      <c r="E30" s="99">
        <v>1235871.91658278</v>
      </c>
      <c r="F30" s="81">
        <v>202</v>
      </c>
      <c r="G30" s="101" t="s">
        <v>6</v>
      </c>
      <c r="H30" s="99">
        <v>8820.8806858803327</v>
      </c>
      <c r="I30" s="31">
        <v>26.01</v>
      </c>
      <c r="J30" s="31">
        <v>4.3899999999999997</v>
      </c>
    </row>
    <row r="31" spans="1:14" ht="30" customHeight="1" thickTop="1" thickBot="1">
      <c r="A31" s="69" t="s">
        <v>578</v>
      </c>
      <c r="B31" s="99">
        <v>8689.5300000000007</v>
      </c>
      <c r="C31" s="99">
        <v>733341.98726281011</v>
      </c>
      <c r="D31" s="99">
        <v>9101812.8146283589</v>
      </c>
      <c r="E31" s="99">
        <v>1304160.5885006299</v>
      </c>
      <c r="F31" s="81">
        <v>203</v>
      </c>
      <c r="G31" s="101" t="s">
        <v>6</v>
      </c>
      <c r="H31" s="99">
        <v>11111.24223125</v>
      </c>
      <c r="I31" s="31">
        <v>29.21</v>
      </c>
      <c r="J31" s="31">
        <v>4.38</v>
      </c>
    </row>
    <row r="32" spans="1:14" ht="30" customHeight="1" thickTop="1" thickBot="1">
      <c r="A32" s="69" t="s">
        <v>56</v>
      </c>
      <c r="B32" s="99">
        <v>9907.82</v>
      </c>
      <c r="C32" s="99">
        <v>697255.14434154006</v>
      </c>
      <c r="D32" s="99">
        <v>9631854.1397864111</v>
      </c>
      <c r="E32" s="99">
        <v>1494439.2344098501</v>
      </c>
      <c r="F32" s="81">
        <v>204</v>
      </c>
      <c r="G32" s="101" t="s">
        <v>6</v>
      </c>
      <c r="H32" s="99">
        <v>10894.611630339999</v>
      </c>
      <c r="I32" s="31">
        <v>30.66</v>
      </c>
      <c r="J32" s="31">
        <v>4.63</v>
      </c>
    </row>
    <row r="33" spans="1:12" ht="30" customHeight="1" thickTop="1" thickBot="1">
      <c r="A33" s="69" t="s">
        <v>57</v>
      </c>
      <c r="B33" s="99">
        <v>10984.15</v>
      </c>
      <c r="C33" s="99">
        <v>642004.62502489006</v>
      </c>
      <c r="D33" s="99">
        <v>9722226.9892842211</v>
      </c>
      <c r="E33" s="99">
        <v>1663966.6284084599</v>
      </c>
      <c r="F33" s="81">
        <v>203</v>
      </c>
      <c r="G33" s="101" t="s">
        <v>6</v>
      </c>
      <c r="H33" s="99">
        <f>10714078154.93/1000000</f>
        <v>10714.078154930001</v>
      </c>
      <c r="I33" s="31">
        <v>32.520000000000003</v>
      </c>
      <c r="J33" s="31">
        <v>4.53</v>
      </c>
    </row>
    <row r="34" spans="1:12" ht="30" customHeight="1" thickTop="1" thickBot="1">
      <c r="A34" s="69" t="s">
        <v>63</v>
      </c>
      <c r="B34" s="99">
        <v>11495.76</v>
      </c>
      <c r="C34" s="99">
        <v>446819.00691061001</v>
      </c>
      <c r="D34" s="99">
        <v>10071019.590931099</v>
      </c>
      <c r="E34" s="99">
        <v>1667597.5396572601</v>
      </c>
      <c r="F34" s="81">
        <v>205</v>
      </c>
      <c r="G34" s="101" t="s">
        <v>6</v>
      </c>
      <c r="H34" s="99">
        <f>9654479871.77/1000000</f>
        <v>9654.4798717699996</v>
      </c>
      <c r="I34" s="99">
        <v>25.33</v>
      </c>
      <c r="J34" s="99">
        <v>4.58</v>
      </c>
    </row>
    <row r="35" spans="1:12" ht="30" customHeight="1" thickTop="1" thickBot="1">
      <c r="A35" s="69" t="s">
        <v>480</v>
      </c>
      <c r="B35" s="99">
        <v>11281.71</v>
      </c>
      <c r="C35" s="99">
        <v>449821.46439967997</v>
      </c>
      <c r="D35" s="99">
        <v>10009151.361040698</v>
      </c>
      <c r="E35" s="99">
        <v>1683374.0688542603</v>
      </c>
      <c r="F35" s="81">
        <v>210</v>
      </c>
      <c r="G35" s="101" t="s">
        <v>6</v>
      </c>
      <c r="H35" s="99">
        <v>6920.33022153</v>
      </c>
      <c r="I35" s="31">
        <v>20.56</v>
      </c>
      <c r="J35" s="31">
        <v>4.07</v>
      </c>
    </row>
    <row r="36" spans="1:12" ht="30" customHeight="1" thickTop="1" thickBot="1">
      <c r="A36" s="69" t="s">
        <v>64</v>
      </c>
      <c r="B36" s="99">
        <v>13090.4</v>
      </c>
      <c r="C36" s="99">
        <v>542812.90167003998</v>
      </c>
      <c r="D36" s="99">
        <v>11963415.894459698</v>
      </c>
      <c r="E36" s="99">
        <v>2478867.6377209001</v>
      </c>
      <c r="F36" s="81">
        <v>215</v>
      </c>
      <c r="G36" s="81">
        <v>1</v>
      </c>
      <c r="H36" s="99">
        <v>8481.45158859</v>
      </c>
      <c r="I36" s="31">
        <v>24.52</v>
      </c>
      <c r="J36" s="31">
        <v>4.87</v>
      </c>
    </row>
    <row r="37" spans="1:12" ht="30" customHeight="1" thickTop="1" thickBot="1">
      <c r="A37" s="69" t="s">
        <v>71</v>
      </c>
      <c r="B37" s="99">
        <v>11523.25</v>
      </c>
      <c r="C37" s="99">
        <v>494966.47</v>
      </c>
      <c r="D37" s="99">
        <v>11444526.550000001</v>
      </c>
      <c r="E37" s="99" t="s">
        <v>72</v>
      </c>
      <c r="F37" s="81">
        <v>215</v>
      </c>
      <c r="G37" s="81">
        <v>2</v>
      </c>
      <c r="H37" s="99">
        <v>8249.44</v>
      </c>
      <c r="I37" s="31">
        <v>17.73</v>
      </c>
      <c r="J37" s="31">
        <v>4.3099999999999996</v>
      </c>
    </row>
    <row r="38" spans="1:12" ht="30" customHeight="1" thickTop="1" thickBot="1">
      <c r="A38" s="116" t="s">
        <v>102</v>
      </c>
      <c r="B38" s="114">
        <v>11405.32</v>
      </c>
      <c r="C38" s="114">
        <v>363097.39591711003</v>
      </c>
      <c r="D38" s="114">
        <v>10832852.0176847</v>
      </c>
      <c r="E38" s="114">
        <v>2250463.3320830897</v>
      </c>
      <c r="F38" s="113">
        <v>217</v>
      </c>
      <c r="G38" s="113">
        <v>0</v>
      </c>
      <c r="H38" s="114">
        <v>6051.6232652851704</v>
      </c>
      <c r="I38" s="119">
        <v>14.59</v>
      </c>
      <c r="J38" s="119">
        <v>3.93</v>
      </c>
    </row>
    <row r="39" spans="1:12" ht="27" thickTop="1" thickBot="1">
      <c r="A39" s="116" t="s">
        <v>481</v>
      </c>
      <c r="B39" s="99">
        <v>10478.459999999999</v>
      </c>
      <c r="C39" s="99">
        <v>307163.44634605001</v>
      </c>
      <c r="D39" s="99">
        <v>9878101.3989761304</v>
      </c>
      <c r="E39" s="150">
        <v>2094237.6433850501</v>
      </c>
      <c r="F39" s="81">
        <v>223</v>
      </c>
      <c r="G39" s="81">
        <v>1</v>
      </c>
      <c r="H39" s="99">
        <v>4799.42884916</v>
      </c>
      <c r="I39" s="31">
        <v>12.46</v>
      </c>
      <c r="J39" s="31">
        <v>3.45</v>
      </c>
    </row>
    <row r="40" spans="1:12" ht="27" thickTop="1" thickBot="1">
      <c r="A40" s="116" t="s">
        <v>425</v>
      </c>
      <c r="B40" s="114">
        <v>10590.1</v>
      </c>
      <c r="C40" s="114">
        <v>269714.77636225999</v>
      </c>
      <c r="D40" s="114">
        <v>9984466.3571189605</v>
      </c>
      <c r="E40" s="114">
        <v>2114002.2160421801</v>
      </c>
      <c r="F40" s="113">
        <v>224</v>
      </c>
      <c r="G40" s="113">
        <v>0</v>
      </c>
      <c r="H40" s="114">
        <v>4214.2933806599995</v>
      </c>
      <c r="I40" s="119">
        <v>12.59</v>
      </c>
      <c r="J40" s="119">
        <v>3.47</v>
      </c>
      <c r="L40" s="159"/>
    </row>
    <row r="41" spans="1:12" ht="27" thickTop="1" thickBot="1">
      <c r="A41" s="69" t="s">
        <v>441</v>
      </c>
      <c r="B41" s="114">
        <v>11458.98</v>
      </c>
      <c r="C41" s="114">
        <v>325012.12083264004</v>
      </c>
      <c r="D41" s="114">
        <v>10907501.9830769</v>
      </c>
      <c r="E41" s="114">
        <v>2602195.1672875602</v>
      </c>
      <c r="F41" s="113">
        <v>228</v>
      </c>
      <c r="G41" s="113">
        <v>0</v>
      </c>
      <c r="H41" s="114">
        <v>5909.31</v>
      </c>
      <c r="I41" s="119">
        <v>14.54</v>
      </c>
      <c r="J41" s="119">
        <v>3.61</v>
      </c>
    </row>
    <row r="42" spans="1:12" ht="27" thickTop="1" thickBot="1">
      <c r="A42" s="116" t="s">
        <v>448</v>
      </c>
      <c r="B42" s="114">
        <v>11055.96</v>
      </c>
      <c r="C42" s="114">
        <v>379468.92962125002</v>
      </c>
      <c r="D42" s="114">
        <v>11410527.851282001</v>
      </c>
      <c r="E42" s="114">
        <v>2571896.5317583303</v>
      </c>
      <c r="F42" s="113">
        <v>230</v>
      </c>
      <c r="G42" s="113">
        <v>0</v>
      </c>
      <c r="H42" s="114">
        <v>5929.2020253320316</v>
      </c>
      <c r="I42" s="119">
        <v>17.09</v>
      </c>
      <c r="J42" s="119">
        <v>3.73</v>
      </c>
      <c r="L42" s="24"/>
    </row>
    <row r="43" spans="1:12" ht="27" thickTop="1" thickBot="1">
      <c r="A43" s="116" t="s">
        <v>482</v>
      </c>
      <c r="B43" s="114">
        <v>11967.39</v>
      </c>
      <c r="C43" s="114">
        <v>358926.10772227001</v>
      </c>
      <c r="D43" s="114">
        <v>11259319.837837301</v>
      </c>
      <c r="E43" s="114">
        <v>2775783.11229209</v>
      </c>
      <c r="F43" s="113">
        <v>231</v>
      </c>
      <c r="G43" s="113">
        <v>2</v>
      </c>
      <c r="H43" s="114">
        <v>5438.27435943</v>
      </c>
      <c r="I43" s="119">
        <v>17.63</v>
      </c>
      <c r="J43" s="119">
        <v>3.65</v>
      </c>
    </row>
    <row r="44" spans="1:12" ht="27" thickTop="1" thickBot="1">
      <c r="A44" s="116" t="s">
        <v>580</v>
      </c>
      <c r="B44" s="114">
        <v>12401.56</v>
      </c>
      <c r="C44" s="114">
        <v>575888.07329056994</v>
      </c>
      <c r="D44" s="114">
        <v>10938626.9096117</v>
      </c>
      <c r="E44" s="114">
        <v>3491106.0003218702</v>
      </c>
      <c r="F44" s="113">
        <v>234</v>
      </c>
      <c r="G44" s="113">
        <v>0</v>
      </c>
      <c r="H44" s="114">
        <v>8998.2511451699993</v>
      </c>
      <c r="I44" s="119">
        <v>17.079999999999998</v>
      </c>
      <c r="J44" s="119">
        <v>3.54</v>
      </c>
    </row>
    <row r="45" spans="1:12" ht="27" thickTop="1" thickBot="1">
      <c r="A45" s="116" t="s">
        <v>587</v>
      </c>
      <c r="B45" s="114">
        <v>11679.5</v>
      </c>
      <c r="C45" s="114">
        <v>447477.94702423003</v>
      </c>
      <c r="D45" s="114">
        <v>10055720.7422866</v>
      </c>
      <c r="E45" s="114">
        <v>3272739.5413748501</v>
      </c>
      <c r="F45" s="113">
        <v>238</v>
      </c>
      <c r="G45" s="113">
        <v>0</v>
      </c>
      <c r="H45" s="114">
        <v>8135.962673167819</v>
      </c>
      <c r="I45" s="119">
        <v>16.600000000000001</v>
      </c>
      <c r="J45" s="119">
        <v>3.22</v>
      </c>
    </row>
    <row r="46" spans="1:12" ht="27" thickTop="1" thickBot="1">
      <c r="A46" s="116" t="s">
        <v>596</v>
      </c>
      <c r="B46" s="114">
        <v>12226.1</v>
      </c>
      <c r="C46" s="114">
        <v>445756.14578801004</v>
      </c>
      <c r="D46" s="114">
        <v>10102725.429626999</v>
      </c>
      <c r="E46" s="114">
        <v>3379945.3908564602</v>
      </c>
      <c r="F46" s="113">
        <v>239</v>
      </c>
      <c r="G46" s="113">
        <v>0</v>
      </c>
      <c r="H46" s="114">
        <v>6857.786858277077</v>
      </c>
      <c r="I46" s="119">
        <v>16.63</v>
      </c>
      <c r="J46" s="119">
        <v>3.25</v>
      </c>
      <c r="K46" s="39"/>
    </row>
    <row r="47" spans="1:12" ht="27" thickTop="1" thickBot="1">
      <c r="A47" s="116" t="s">
        <v>603</v>
      </c>
      <c r="B47" s="114">
        <v>12036.5</v>
      </c>
      <c r="C47" s="114">
        <v>393210.37</v>
      </c>
      <c r="D47" s="114">
        <v>10200236.08</v>
      </c>
      <c r="E47" s="114">
        <v>3388981.78</v>
      </c>
      <c r="F47" s="113">
        <v>247</v>
      </c>
      <c r="G47" s="113">
        <v>0</v>
      </c>
      <c r="H47" s="114">
        <v>5957.73</v>
      </c>
      <c r="I47" s="119">
        <v>17.440000000000001</v>
      </c>
      <c r="J47" s="119">
        <v>3.26</v>
      </c>
    </row>
    <row r="48" spans="1:12" ht="27" thickTop="1" thickBot="1">
      <c r="A48" s="116" t="s">
        <v>610</v>
      </c>
      <c r="B48" s="114">
        <v>12025.05</v>
      </c>
      <c r="C48" s="114">
        <v>362586.57</v>
      </c>
      <c r="D48" s="114">
        <v>9918692.9299999997</v>
      </c>
      <c r="E48" s="114" t="s">
        <v>611</v>
      </c>
      <c r="F48" s="113">
        <v>253</v>
      </c>
      <c r="G48" s="113">
        <v>0</v>
      </c>
      <c r="H48" s="114">
        <v>5944.04</v>
      </c>
      <c r="I48" s="119">
        <v>16.88</v>
      </c>
      <c r="J48" s="119">
        <v>3.17</v>
      </c>
    </row>
    <row r="49" spans="1:12" ht="27" thickTop="1" thickBot="1">
      <c r="A49" s="116" t="s">
        <v>623</v>
      </c>
      <c r="B49" s="114">
        <v>11163.96</v>
      </c>
      <c r="C49" s="114">
        <v>325505.46114001999</v>
      </c>
      <c r="D49" s="114">
        <v>9126037.9977975991</v>
      </c>
      <c r="E49" s="114">
        <v>3130315.0455574598</v>
      </c>
      <c r="F49" s="113">
        <v>256</v>
      </c>
      <c r="G49" s="113">
        <v>0</v>
      </c>
      <c r="H49" s="114">
        <v>5314.4862613499999</v>
      </c>
      <c r="I49" s="119">
        <v>15.45</v>
      </c>
      <c r="J49" s="119">
        <v>2.87</v>
      </c>
    </row>
    <row r="50" spans="1:12" ht="27" thickTop="1" thickBot="1">
      <c r="A50" s="116" t="s">
        <v>691</v>
      </c>
      <c r="B50" s="114">
        <v>11502.97</v>
      </c>
      <c r="C50" s="114">
        <v>326023.09999999998</v>
      </c>
      <c r="D50" s="114">
        <v>9318130.0899999999</v>
      </c>
      <c r="E50" s="114">
        <v>3225361.61</v>
      </c>
      <c r="F50" s="113">
        <v>261</v>
      </c>
      <c r="G50" s="113">
        <v>0</v>
      </c>
      <c r="H50" s="114">
        <v>5015.74</v>
      </c>
      <c r="I50" s="119">
        <v>15.99</v>
      </c>
      <c r="J50" s="119">
        <v>2.92</v>
      </c>
      <c r="K50" s="33"/>
    </row>
    <row r="51" spans="1:12" ht="26.25" thickTop="1">
      <c r="A51" s="116" t="s">
        <v>695</v>
      </c>
      <c r="B51" s="114">
        <v>10490.69</v>
      </c>
      <c r="C51" s="114">
        <v>285117.98</v>
      </c>
      <c r="D51" s="114">
        <v>8817604.6400000006</v>
      </c>
      <c r="E51" s="114">
        <v>2963656.78</v>
      </c>
      <c r="F51" s="113">
        <v>266</v>
      </c>
      <c r="G51" s="113">
        <v>1</v>
      </c>
      <c r="H51" s="114">
        <v>4319.97</v>
      </c>
      <c r="I51" s="119">
        <v>15.08</v>
      </c>
      <c r="J51" s="119">
        <v>2.72</v>
      </c>
    </row>
    <row r="56" spans="1:12">
      <c r="A56" s="23" t="s">
        <v>469</v>
      </c>
      <c r="J56" s="37" t="s">
        <v>579</v>
      </c>
      <c r="K56" s="36"/>
      <c r="L56" s="41"/>
    </row>
    <row r="57" spans="1:12">
      <c r="A57" s="23" t="s">
        <v>49</v>
      </c>
      <c r="B57" s="24"/>
      <c r="C57" s="24"/>
      <c r="D57" s="24"/>
      <c r="E57" s="24"/>
      <c r="F57" s="24"/>
      <c r="G57" s="24"/>
      <c r="H57" s="24"/>
      <c r="I57" s="24"/>
      <c r="J57" s="37" t="s">
        <v>433</v>
      </c>
      <c r="K57" s="40"/>
    </row>
    <row r="58" spans="1:12">
      <c r="J58" s="47" t="s">
        <v>432</v>
      </c>
    </row>
    <row r="59" spans="1:12">
      <c r="A59" s="23" t="s">
        <v>688</v>
      </c>
      <c r="E59" s="192" t="s">
        <v>689</v>
      </c>
      <c r="F59" s="192"/>
      <c r="G59" s="192"/>
      <c r="H59" s="192"/>
      <c r="I59" s="192"/>
      <c r="J59" s="192"/>
    </row>
    <row r="60" spans="1:12">
      <c r="E60" s="192"/>
      <c r="F60" s="192"/>
      <c r="G60" s="192"/>
      <c r="H60" s="192"/>
      <c r="I60" s="192"/>
      <c r="J60" s="192"/>
      <c r="K60" s="40"/>
    </row>
  </sheetData>
  <mergeCells count="2">
    <mergeCell ref="D5:H5"/>
    <mergeCell ref="E59:J60"/>
  </mergeCells>
  <pageMargins left="0.7" right="0.7" top="0.75" bottom="0.75" header="0.3" footer="0.3"/>
  <pageSetup paperSize="9" orientation="portrait" r:id="rId1"/>
  <headerFooter>
    <oddFooter>&amp;C&amp;"Calibri"&amp;11&amp;K000000&amp;"Calibri"&amp;11&amp;K000000&amp;"Calibri"&amp;11&amp;K000000&amp;10&amp;K663300Classification: &amp;K000000 Internal  داخلي_x000D_&amp;1#&amp;"Calibri"&amp;10&amp;K000000Internal - داخلي</oddFooter>
    <evenFooter>&amp;C&amp;10&amp;K663300Classification: &amp;K000000 Internal  داخلي</evenFooter>
    <firstFooter>&amp;C&amp;10&amp;K663300Classification: &amp;K000000 Internal  داخلي</firstFooter>
  </headerFooter>
  <drawing r:id="rId2"/>
  <tableParts count="1">
    <tablePart r:id="rId3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20">
    <pageSetUpPr autoPageBreaks="0"/>
  </sheetPr>
  <dimension ref="A1:M33"/>
  <sheetViews>
    <sheetView showGridLines="0" rightToLeft="1" tabSelected="1" topLeftCell="B13" zoomScale="85" zoomScaleNormal="85" workbookViewId="0">
      <selection activeCell="F25" sqref="F25"/>
    </sheetView>
  </sheetViews>
  <sheetFormatPr defaultColWidth="8.42578125" defaultRowHeight="15"/>
  <cols>
    <col min="1" max="1" width="19.42578125" customWidth="1"/>
    <col min="2" max="2" width="23.42578125" customWidth="1"/>
    <col min="3" max="3" width="23.140625" customWidth="1"/>
    <col min="4" max="4" width="20.85546875" customWidth="1"/>
    <col min="5" max="5" width="18.140625" customWidth="1"/>
    <col min="6" max="6" width="23.140625" customWidth="1"/>
    <col min="7" max="8" width="15" customWidth="1"/>
    <col min="9" max="9" width="9.42578125" bestFit="1" customWidth="1"/>
    <col min="16" max="16" width="12.7109375" bestFit="1" customWidth="1"/>
    <col min="17" max="17" width="15.42578125" bestFit="1" customWidth="1"/>
  </cols>
  <sheetData>
    <row r="1" spans="1:12" ht="16.5">
      <c r="B1" s="3"/>
      <c r="C1" s="3"/>
      <c r="D1" s="3"/>
    </row>
    <row r="2" spans="1:12" ht="18">
      <c r="A2" s="4"/>
      <c r="B2" s="4"/>
      <c r="C2" s="4"/>
      <c r="D2" s="4"/>
      <c r="E2" s="4"/>
      <c r="F2" s="4"/>
      <c r="G2" s="4"/>
      <c r="H2" s="4"/>
      <c r="I2" s="1"/>
    </row>
    <row r="3" spans="1:12" ht="18">
      <c r="A3" s="4"/>
      <c r="B3" s="4"/>
      <c r="C3" s="4"/>
      <c r="D3" s="4"/>
      <c r="E3" s="4"/>
      <c r="F3" s="4"/>
      <c r="G3" s="4"/>
      <c r="H3" s="4"/>
      <c r="I3" s="1"/>
    </row>
    <row r="4" spans="1:12" ht="18">
      <c r="A4" s="4"/>
      <c r="B4" s="4"/>
      <c r="C4" s="4"/>
      <c r="D4" s="4"/>
      <c r="E4" s="4"/>
      <c r="F4" s="4"/>
      <c r="G4" s="4"/>
      <c r="H4" s="4"/>
      <c r="I4" s="1"/>
    </row>
    <row r="5" spans="1:12" ht="18">
      <c r="A5" s="2"/>
      <c r="B5" s="2"/>
      <c r="C5" s="2"/>
    </row>
    <row r="6" spans="1:12" ht="31.5" customHeight="1">
      <c r="C6" s="191" t="s">
        <v>687</v>
      </c>
      <c r="D6" s="191"/>
      <c r="E6" s="191"/>
      <c r="F6" s="191"/>
      <c r="G6" s="95"/>
      <c r="H6" s="22"/>
    </row>
    <row r="7" spans="1:12">
      <c r="I7" t="str">
        <f t="shared" ref="I7:L7" si="0">I8&amp;" "&amp;I9&amp;" "&amp;I10&amp;" "&amp;I11</f>
        <v xml:space="preserve">   </v>
      </c>
      <c r="J7" t="str">
        <f t="shared" si="0"/>
        <v xml:space="preserve">   </v>
      </c>
      <c r="K7" t="str">
        <f t="shared" si="0"/>
        <v xml:space="preserve">   </v>
      </c>
      <c r="L7" t="str">
        <f t="shared" si="0"/>
        <v xml:space="preserve">   </v>
      </c>
    </row>
    <row r="8" spans="1:12" ht="67.5" customHeight="1" thickBot="1">
      <c r="B8" s="104" t="s">
        <v>97</v>
      </c>
      <c r="C8" s="104" t="s">
        <v>413</v>
      </c>
      <c r="D8" s="104" t="s">
        <v>414</v>
      </c>
      <c r="E8" s="104" t="s">
        <v>415</v>
      </c>
      <c r="F8" s="104" t="s">
        <v>416</v>
      </c>
      <c r="G8" s="104" t="s">
        <v>417</v>
      </c>
      <c r="H8" s="104" t="s">
        <v>418</v>
      </c>
      <c r="I8" s="6"/>
    </row>
    <row r="9" spans="1:12" ht="33.75" customHeight="1" thickTop="1" thickBot="1">
      <c r="B9" s="83" t="s">
        <v>56</v>
      </c>
      <c r="C9" s="81">
        <v>57</v>
      </c>
      <c r="D9" s="99">
        <v>6.5</v>
      </c>
      <c r="E9" s="81">
        <v>6</v>
      </c>
      <c r="F9" s="99">
        <v>2322.5</v>
      </c>
      <c r="G9" s="82">
        <v>63</v>
      </c>
      <c r="H9" s="94">
        <v>2329</v>
      </c>
      <c r="I9" s="6"/>
    </row>
    <row r="10" spans="1:12" ht="27" thickTop="1" thickBot="1">
      <c r="B10" s="83" t="s">
        <v>57</v>
      </c>
      <c r="C10" s="81">
        <v>71</v>
      </c>
      <c r="D10" s="99">
        <v>5.6</v>
      </c>
      <c r="E10" s="81">
        <v>3</v>
      </c>
      <c r="F10" s="99">
        <v>46.5</v>
      </c>
      <c r="G10" s="82">
        <v>74</v>
      </c>
      <c r="H10" s="94">
        <v>52.1</v>
      </c>
      <c r="I10" s="6"/>
    </row>
    <row r="11" spans="1:12" ht="27" thickTop="1" thickBot="1">
      <c r="B11" s="83" t="s">
        <v>63</v>
      </c>
      <c r="C11" s="81">
        <v>73</v>
      </c>
      <c r="D11" s="99">
        <v>7.3</v>
      </c>
      <c r="E11" s="81">
        <v>4</v>
      </c>
      <c r="F11" s="99">
        <v>360.5</v>
      </c>
      <c r="G11" s="82">
        <v>77</v>
      </c>
      <c r="H11" s="94">
        <v>367.8</v>
      </c>
      <c r="I11" s="6"/>
    </row>
    <row r="12" spans="1:12" ht="27" thickTop="1" thickBot="1">
      <c r="A12" s="17"/>
      <c r="B12" s="83" t="s">
        <v>480</v>
      </c>
      <c r="C12" s="81">
        <v>55</v>
      </c>
      <c r="D12" s="99">
        <v>3.2</v>
      </c>
      <c r="E12" s="81">
        <v>13</v>
      </c>
      <c r="F12" s="99">
        <v>74</v>
      </c>
      <c r="G12" s="82">
        <v>68</v>
      </c>
      <c r="H12" s="94">
        <v>77.2</v>
      </c>
      <c r="I12" s="9"/>
    </row>
    <row r="13" spans="1:12" ht="27" thickTop="1" thickBot="1">
      <c r="A13" s="17"/>
      <c r="B13" s="83" t="s">
        <v>81</v>
      </c>
      <c r="C13" s="81">
        <v>70</v>
      </c>
      <c r="D13" s="99">
        <v>4.9000000000000004</v>
      </c>
      <c r="E13" s="81">
        <v>8</v>
      </c>
      <c r="F13" s="99">
        <v>434</v>
      </c>
      <c r="G13" s="82">
        <v>78</v>
      </c>
      <c r="H13" s="94">
        <v>438.9</v>
      </c>
      <c r="I13" s="9"/>
    </row>
    <row r="14" spans="1:12" ht="27" thickTop="1" thickBot="1">
      <c r="A14" s="17"/>
      <c r="B14" s="83" t="s">
        <v>71</v>
      </c>
      <c r="C14" s="81">
        <v>50</v>
      </c>
      <c r="D14" s="99">
        <v>4.3</v>
      </c>
      <c r="E14" s="81">
        <v>42</v>
      </c>
      <c r="F14" s="99">
        <v>3726.1</v>
      </c>
      <c r="G14" s="82">
        <v>92</v>
      </c>
      <c r="H14" s="94">
        <v>3730.4</v>
      </c>
      <c r="I14" s="17"/>
      <c r="J14" s="17"/>
    </row>
    <row r="15" spans="1:12" ht="27" thickTop="1" thickBot="1">
      <c r="B15" s="73" t="s">
        <v>102</v>
      </c>
      <c r="C15" s="113">
        <v>41</v>
      </c>
      <c r="D15" s="114">
        <v>2.1283500000000002</v>
      </c>
      <c r="E15" s="113">
        <v>31</v>
      </c>
      <c r="F15" s="114">
        <v>1900.4526000000001</v>
      </c>
      <c r="G15" s="135">
        <f t="shared" ref="G15:H18" si="1">E15+C15</f>
        <v>72</v>
      </c>
      <c r="H15" s="142">
        <f t="shared" si="1"/>
        <v>1902.58095</v>
      </c>
    </row>
    <row r="16" spans="1:12" ht="27" thickTop="1" thickBot="1">
      <c r="B16" s="83" t="s">
        <v>481</v>
      </c>
      <c r="C16" s="81">
        <v>22</v>
      </c>
      <c r="D16" s="99">
        <v>1.311153</v>
      </c>
      <c r="E16" s="81">
        <v>52</v>
      </c>
      <c r="F16" s="99">
        <v>5322</v>
      </c>
      <c r="G16" s="135">
        <f t="shared" si="1"/>
        <v>74</v>
      </c>
      <c r="H16" s="142">
        <f t="shared" si="1"/>
        <v>5323.3111529999996</v>
      </c>
    </row>
    <row r="17" spans="2:13" ht="27" thickTop="1" thickBot="1">
      <c r="B17" s="69" t="s">
        <v>425</v>
      </c>
      <c r="C17" s="113">
        <v>29</v>
      </c>
      <c r="D17" s="114">
        <v>1.4117839999999999</v>
      </c>
      <c r="E17" s="113">
        <v>21</v>
      </c>
      <c r="F17" s="114">
        <v>430.54445800000002</v>
      </c>
      <c r="G17" s="135">
        <f t="shared" si="1"/>
        <v>50</v>
      </c>
      <c r="H17" s="142">
        <f t="shared" si="1"/>
        <v>431.95624200000003</v>
      </c>
    </row>
    <row r="18" spans="2:13" ht="27" thickTop="1" thickBot="1">
      <c r="B18" s="69" t="s">
        <v>440</v>
      </c>
      <c r="C18" s="113">
        <v>0</v>
      </c>
      <c r="D18" s="114">
        <v>0</v>
      </c>
      <c r="E18" s="113">
        <v>9</v>
      </c>
      <c r="F18" s="114">
        <v>56</v>
      </c>
      <c r="G18" s="135">
        <f t="shared" si="1"/>
        <v>9</v>
      </c>
      <c r="H18" s="142">
        <f t="shared" si="1"/>
        <v>56</v>
      </c>
      <c r="K18" s="163"/>
    </row>
    <row r="19" spans="2:13" ht="27" thickTop="1" thickBot="1">
      <c r="B19" s="73" t="s">
        <v>448</v>
      </c>
      <c r="C19" s="113">
        <v>0</v>
      </c>
      <c r="D19" s="114">
        <v>0</v>
      </c>
      <c r="E19" s="113">
        <v>29</v>
      </c>
      <c r="F19" s="114">
        <v>216.4076</v>
      </c>
      <c r="G19" s="135">
        <v>29</v>
      </c>
      <c r="H19" s="142">
        <v>216.4076</v>
      </c>
      <c r="J19" s="9"/>
      <c r="K19" s="9"/>
      <c r="L19" s="9"/>
      <c r="M19" s="9"/>
    </row>
    <row r="20" spans="2:13" ht="30" customHeight="1" thickTop="1" thickBot="1">
      <c r="B20" s="73" t="s">
        <v>482</v>
      </c>
      <c r="C20" s="113">
        <v>26</v>
      </c>
      <c r="D20" s="114">
        <f>467516/1000000</f>
        <v>0.46751599999999999</v>
      </c>
      <c r="E20" s="113">
        <v>37</v>
      </c>
      <c r="F20" s="114">
        <v>237.86969999999999</v>
      </c>
      <c r="G20" s="135">
        <f>Table25[[#This Row],[عدد صفقات الصكوك والسندات Sukuk and Bonds Number of Trades]]+Table25[[#This Row],[(أسهم**) عدد الصفقات ( Equities**) Number of Trades ]]</f>
        <v>63</v>
      </c>
      <c r="H20" s="142">
        <f>Table25[[#This Row],[قيمة الصكوك والسندات Sukuk and Bonds Value]]+Table25[[#This Row],[(أسهم**) القيمة ( Equities**) Value]]</f>
        <v>238.33721599999998</v>
      </c>
    </row>
    <row r="21" spans="2:13" ht="30" customHeight="1" thickTop="1" thickBot="1">
      <c r="B21" s="73" t="s">
        <v>580</v>
      </c>
      <c r="C21" s="113">
        <v>73</v>
      </c>
      <c r="D21" s="114">
        <v>3.6272228000000002</v>
      </c>
      <c r="E21" s="113">
        <v>27</v>
      </c>
      <c r="F21" s="114">
        <v>106.6279</v>
      </c>
      <c r="G21" s="135">
        <f>Table25[[#This Row],[عدد صفقات الصكوك والسندات Sukuk and Bonds Number of Trades]]+Table25[[#This Row],[(أسهم**) عدد الصفقات ( Equities**) Number of Trades ]]</f>
        <v>100</v>
      </c>
      <c r="H21" s="142">
        <f>Table25[[#This Row],[قيمة الصكوك والسندات Sukuk and Bonds Value]]+Table25[[#This Row],[(أسهم**) القيمة ( Equities**) Value]]</f>
        <v>110.2551228</v>
      </c>
    </row>
    <row r="22" spans="2:13" ht="27" thickTop="1" thickBot="1">
      <c r="B22" s="73" t="s">
        <v>587</v>
      </c>
      <c r="C22" s="113">
        <v>0</v>
      </c>
      <c r="D22" s="114">
        <v>0</v>
      </c>
      <c r="E22" s="113">
        <v>13</v>
      </c>
      <c r="F22" s="114">
        <v>197.45715000000001</v>
      </c>
      <c r="G22" s="135">
        <f>Table25[[#This Row],[عدد صفقات الصكوك والسندات Sukuk and Bonds Number of Trades]]+Table25[[#This Row],[(أسهم**) عدد الصفقات ( Equities**) Number of Trades ]]</f>
        <v>13</v>
      </c>
      <c r="H22" s="142">
        <f>Table25[[#This Row],[قيمة الصكوك والسندات Sukuk and Bonds Value]]+Table25[[#This Row],[(أسهم**) القيمة ( Equities**) Value]]</f>
        <v>197.45715000000001</v>
      </c>
    </row>
    <row r="23" spans="2:13" ht="27" thickTop="1" thickBot="1">
      <c r="B23" s="73" t="s">
        <v>596</v>
      </c>
      <c r="C23" s="113">
        <v>0</v>
      </c>
      <c r="D23" s="114">
        <v>0</v>
      </c>
      <c r="E23" s="113">
        <v>27</v>
      </c>
      <c r="F23" s="114">
        <v>167.90089399999999</v>
      </c>
      <c r="G23" s="135">
        <f>Table25[[#This Row],[عدد صفقات الصكوك والسندات Sukuk and Bonds Number of Trades]]+Table25[[#This Row],[(أسهم**) عدد الصفقات ( Equities**) Number of Trades ]]</f>
        <v>27</v>
      </c>
      <c r="H23" s="142">
        <f>Table25[[#This Row],[قيمة الصكوك والسندات Sukuk and Bonds Value]]+Table25[[#This Row],[(أسهم**) القيمة ( Equities**) Value]]</f>
        <v>167.90089399999999</v>
      </c>
    </row>
    <row r="24" spans="2:13" ht="27" thickTop="1" thickBot="1">
      <c r="B24" s="73" t="s">
        <v>603</v>
      </c>
      <c r="C24" s="113">
        <v>0</v>
      </c>
      <c r="D24" s="114">
        <v>0</v>
      </c>
      <c r="E24" s="113">
        <v>46</v>
      </c>
      <c r="F24" s="114">
        <v>1306.3</v>
      </c>
      <c r="G24" s="135">
        <f>Table25[[#This Row],[عدد صفقات الصكوك والسندات Sukuk and Bonds Number of Trades]]+Table25[[#This Row],[(أسهم**) عدد الصفقات ( Equities**) Number of Trades ]]</f>
        <v>46</v>
      </c>
      <c r="H24" s="142">
        <f>Table25[[#This Row],[قيمة الصكوك والسندات Sukuk and Bonds Value]]+Table25[[#This Row],[(أسهم**) القيمة ( Equities**) Value]]</f>
        <v>1306.3</v>
      </c>
    </row>
    <row r="25" spans="2:13" ht="27" thickTop="1" thickBot="1">
      <c r="B25" s="73" t="s">
        <v>610</v>
      </c>
      <c r="C25" s="113">
        <v>0</v>
      </c>
      <c r="D25" s="114">
        <v>0</v>
      </c>
      <c r="E25" s="113">
        <v>23</v>
      </c>
      <c r="F25" s="114">
        <v>769.06</v>
      </c>
      <c r="G25" s="135">
        <f>Table25[[#This Row],[عدد صفقات الصكوك والسندات Sukuk and Bonds Number of Trades]]+Table25[[#This Row],[(أسهم**) عدد الصفقات ( Equities**) Number of Trades ]]</f>
        <v>23</v>
      </c>
      <c r="H25" s="142">
        <f>Table25[[#This Row],[قيمة الصكوك والسندات Sukuk and Bonds Value]]+Table25[[#This Row],[(أسهم**) القيمة ( Equities**) Value]]</f>
        <v>769.06</v>
      </c>
    </row>
    <row r="26" spans="2:13" ht="27" thickTop="1" thickBot="1">
      <c r="B26" s="73" t="s">
        <v>623</v>
      </c>
      <c r="C26" s="113">
        <v>0</v>
      </c>
      <c r="D26" s="114">
        <v>0</v>
      </c>
      <c r="E26" s="113">
        <v>42</v>
      </c>
      <c r="F26" s="114">
        <v>4347.5097509999996</v>
      </c>
      <c r="G26" s="135">
        <f>Table25[[#This Row],[عدد صفقات الصكوك والسندات Sukuk and Bonds Number of Trades]]+Table25[[#This Row],[(أسهم**) عدد الصفقات ( Equities**) Number of Trades ]]</f>
        <v>42</v>
      </c>
      <c r="H26" s="142">
        <f>Table25[[#This Row],[قيمة الصكوك والسندات Sukuk and Bonds Value]]+Table25[[#This Row],[(أسهم**) القيمة ( Equities**) Value]]</f>
        <v>4347.5097509999996</v>
      </c>
    </row>
    <row r="27" spans="2:13" ht="27" thickTop="1" thickBot="1">
      <c r="B27" s="73" t="s">
        <v>691</v>
      </c>
      <c r="C27" s="81">
        <v>0</v>
      </c>
      <c r="D27" s="99">
        <v>0</v>
      </c>
      <c r="E27" s="81">
        <v>19</v>
      </c>
      <c r="F27" s="99">
        <v>994.49</v>
      </c>
      <c r="G27" s="82">
        <v>19</v>
      </c>
      <c r="H27" s="94">
        <v>994.49</v>
      </c>
    </row>
    <row r="28" spans="2:13" ht="26.25" thickTop="1">
      <c r="B28" s="73" t="s">
        <v>695</v>
      </c>
      <c r="C28" s="113">
        <v>0</v>
      </c>
      <c r="D28" s="114">
        <v>0</v>
      </c>
      <c r="E28" s="113">
        <v>21</v>
      </c>
      <c r="F28" s="114">
        <v>8141.62</v>
      </c>
      <c r="G28" s="135">
        <v>21</v>
      </c>
      <c r="H28" s="142">
        <v>8141.62</v>
      </c>
    </row>
    <row r="29" spans="2:13">
      <c r="B29" s="15" t="s">
        <v>80</v>
      </c>
      <c r="C29" s="68"/>
      <c r="E29" s="16"/>
      <c r="F29" s="16"/>
      <c r="G29" s="16"/>
    </row>
    <row r="30" spans="2:13">
      <c r="B30" s="15" t="s">
        <v>82</v>
      </c>
      <c r="G30" s="16"/>
      <c r="H30" s="16" t="s">
        <v>98</v>
      </c>
    </row>
    <row r="31" spans="2:13">
      <c r="H31" s="16" t="s">
        <v>99</v>
      </c>
    </row>
    <row r="32" spans="2:13">
      <c r="B32" s="15"/>
      <c r="C32" s="16"/>
      <c r="D32" s="16"/>
      <c r="E32" s="16"/>
      <c r="F32" s="16"/>
      <c r="G32" s="21"/>
      <c r="H32" s="21"/>
    </row>
    <row r="33" spans="5:5">
      <c r="E33" s="151"/>
    </row>
  </sheetData>
  <mergeCells count="1">
    <mergeCell ref="C6:F6"/>
  </mergeCells>
  <hyperlinks>
    <hyperlink ref="A5:C5" location="Main!G8" display="العودة للصفحة الرئيسية" xr:uid="{00000000-0004-0000-2000-000000000000}"/>
  </hyperlinks>
  <pageMargins left="0.7" right="0.7" top="0.75" bottom="0.75" header="0.3" footer="0.3"/>
  <pageSetup paperSize="9" orientation="portrait" r:id="rId1"/>
  <headerFooter>
    <oddFooter>&amp;C&amp;"Calibri"&amp;11&amp;K000000&amp;"Calibri"&amp;11&amp;K000000&amp;"Calibri"&amp;11&amp;K000000&amp;10&amp;K663300Classification: &amp;K000000 Internal  داخلي_x000D_&amp;1#&amp;"Calibri"&amp;10&amp;K000000Internal - داخلي</oddFooter>
    <evenFooter>&amp;C&amp;10&amp;K663300Classification: &amp;K000000 Internal  داخلي</evenFooter>
    <firstFooter>&amp;C&amp;10&amp;K663300Classification: &amp;K000000 Internal  داخلي</first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3">
    <pageSetUpPr autoPageBreaks="0"/>
  </sheetPr>
  <dimension ref="A1:L39"/>
  <sheetViews>
    <sheetView showGridLines="0" rightToLeft="1" topLeftCell="A19" zoomScale="110" zoomScaleNormal="110" workbookViewId="0">
      <selection activeCell="B32" sqref="B29:B32"/>
    </sheetView>
  </sheetViews>
  <sheetFormatPr defaultColWidth="9.140625" defaultRowHeight="15"/>
  <cols>
    <col min="1" max="1" width="24.42578125" style="26" customWidth="1"/>
    <col min="2" max="3" width="15.42578125" style="26" customWidth="1"/>
    <col min="4" max="4" width="18.42578125" style="26" customWidth="1"/>
    <col min="5" max="5" width="15.42578125" style="26" customWidth="1"/>
    <col min="6" max="6" width="20.42578125" style="26" customWidth="1"/>
    <col min="7" max="7" width="17" style="26" customWidth="1"/>
    <col min="8" max="10" width="15.42578125" style="26" customWidth="1"/>
    <col min="11" max="11" width="18" style="26" customWidth="1"/>
    <col min="12" max="12" width="18.85546875" style="26" customWidth="1"/>
    <col min="13" max="13" width="14.42578125" style="26" customWidth="1"/>
    <col min="14" max="14" width="9.140625" style="26"/>
    <col min="15" max="15" width="20.42578125" style="26" bestFit="1" customWidth="1"/>
    <col min="16" max="16" width="9.140625" style="26"/>
    <col min="17" max="17" width="12.140625" style="26" bestFit="1" customWidth="1"/>
    <col min="18" max="16384" width="9.140625" style="26"/>
  </cols>
  <sheetData>
    <row r="1" spans="1:8" ht="15" customHeight="1">
      <c r="B1" s="28"/>
      <c r="C1" s="28"/>
      <c r="D1" s="28"/>
    </row>
    <row r="2" spans="1:8" ht="15" customHeight="1">
      <c r="A2" s="29"/>
      <c r="B2" s="29"/>
      <c r="C2" s="29"/>
      <c r="D2" s="29"/>
      <c r="E2" s="29"/>
      <c r="F2" s="29"/>
      <c r="G2" s="29"/>
      <c r="H2" s="30"/>
    </row>
    <row r="3" spans="1:8" ht="15" customHeight="1">
      <c r="A3" s="29"/>
      <c r="B3" s="29"/>
      <c r="C3" s="29"/>
      <c r="D3" s="29"/>
      <c r="E3" s="29"/>
      <c r="F3" s="29"/>
      <c r="G3" s="29"/>
      <c r="H3" s="30"/>
    </row>
    <row r="4" spans="1:8" ht="24" customHeight="1"/>
    <row r="5" spans="1:8" ht="47.25" customHeight="1">
      <c r="E5" s="95"/>
      <c r="F5" s="95"/>
      <c r="G5" s="95"/>
      <c r="H5" s="27"/>
    </row>
    <row r="6" spans="1:8" ht="36" customHeight="1">
      <c r="B6" s="191" t="s">
        <v>670</v>
      </c>
      <c r="C6" s="191"/>
      <c r="D6" s="191"/>
      <c r="E6" s="191"/>
      <c r="F6" s="191"/>
      <c r="G6" s="191"/>
    </row>
    <row r="7" spans="1:8" ht="36" customHeight="1"/>
    <row r="8" spans="1:8" ht="120.75" thickBot="1">
      <c r="A8" s="117" t="s">
        <v>114</v>
      </c>
      <c r="B8" s="102" t="s">
        <v>115</v>
      </c>
      <c r="C8" s="102" t="s">
        <v>116</v>
      </c>
      <c r="D8" s="102" t="s">
        <v>117</v>
      </c>
      <c r="E8" s="102" t="s">
        <v>118</v>
      </c>
      <c r="F8" s="102" t="s">
        <v>119</v>
      </c>
      <c r="G8" s="105" t="s">
        <v>120</v>
      </c>
    </row>
    <row r="9" spans="1:8" ht="27" thickTop="1" thickBot="1">
      <c r="A9" s="69" t="s">
        <v>50</v>
      </c>
      <c r="B9" s="99">
        <v>5517.87</v>
      </c>
      <c r="C9" s="99">
        <v>1007.71</v>
      </c>
      <c r="D9" s="99">
        <v>1725.2</v>
      </c>
      <c r="E9" s="99">
        <v>632.9</v>
      </c>
      <c r="F9" s="81">
        <v>5</v>
      </c>
      <c r="G9" s="118">
        <v>15.5</v>
      </c>
    </row>
    <row r="10" spans="1:8" ht="27" thickTop="1" thickBot="1">
      <c r="A10" s="69" t="s">
        <v>54</v>
      </c>
      <c r="B10" s="99">
        <v>8017.57</v>
      </c>
      <c r="C10" s="99">
        <v>1750.59</v>
      </c>
      <c r="D10" s="99">
        <v>3258.55</v>
      </c>
      <c r="E10" s="99">
        <v>830.85</v>
      </c>
      <c r="F10" s="81">
        <v>5</v>
      </c>
      <c r="G10" s="118">
        <v>29.18</v>
      </c>
    </row>
    <row r="11" spans="1:8" ht="27" thickTop="1" thickBot="1">
      <c r="A11" s="69" t="s">
        <v>55</v>
      </c>
      <c r="B11" s="99">
        <v>14114.21</v>
      </c>
      <c r="C11" s="99">
        <v>1596.88</v>
      </c>
      <c r="D11" s="99">
        <v>7257</v>
      </c>
      <c r="E11" s="99">
        <v>2991.34</v>
      </c>
      <c r="F11" s="81">
        <v>5</v>
      </c>
      <c r="G11" s="118">
        <v>26.61</v>
      </c>
    </row>
    <row r="12" spans="1:8" ht="27" thickTop="1" thickBot="1">
      <c r="A12" s="69" t="s">
        <v>578</v>
      </c>
      <c r="B12" s="99">
        <v>26245.46</v>
      </c>
      <c r="C12" s="99">
        <v>2758.8</v>
      </c>
      <c r="D12" s="99">
        <v>12179.3</v>
      </c>
      <c r="E12" s="99">
        <v>3722.74</v>
      </c>
      <c r="F12" s="81">
        <v>4</v>
      </c>
      <c r="G12" s="118">
        <v>41.8</v>
      </c>
    </row>
    <row r="13" spans="1:8" ht="27" thickTop="1" thickBot="1">
      <c r="A13" s="69" t="s">
        <v>56</v>
      </c>
      <c r="B13" s="99">
        <v>24291.91</v>
      </c>
      <c r="C13" s="99">
        <v>2716.49</v>
      </c>
      <c r="D13" s="99">
        <v>12477.521000000001</v>
      </c>
      <c r="E13" s="99">
        <v>3832.55</v>
      </c>
      <c r="F13" s="81">
        <v>5</v>
      </c>
      <c r="G13" s="118">
        <v>42.45</v>
      </c>
    </row>
    <row r="14" spans="1:8" ht="27" thickTop="1" thickBot="1">
      <c r="A14" s="69" t="s">
        <v>57</v>
      </c>
      <c r="B14" s="99">
        <v>22937.5</v>
      </c>
      <c r="C14" s="99">
        <v>2125.69</v>
      </c>
      <c r="D14" s="99">
        <v>11860.938</v>
      </c>
      <c r="E14" s="99">
        <v>4503.1499999999996</v>
      </c>
      <c r="F14" s="81">
        <v>7</v>
      </c>
      <c r="G14" s="118">
        <v>34.85</v>
      </c>
    </row>
    <row r="15" spans="1:8" ht="27" thickTop="1" thickBot="1">
      <c r="A15" s="69" t="s">
        <v>63</v>
      </c>
      <c r="B15" s="99">
        <v>23652.32</v>
      </c>
      <c r="C15" s="99">
        <v>2683.4257773899999</v>
      </c>
      <c r="D15" s="99">
        <v>15251.799000000001</v>
      </c>
      <c r="E15" s="99">
        <v>7403.6406583999997</v>
      </c>
      <c r="F15" s="81">
        <v>12</v>
      </c>
      <c r="G15" s="118">
        <v>44.723762956499996</v>
      </c>
    </row>
    <row r="16" spans="1:8" ht="27" thickTop="1" thickBot="1">
      <c r="A16" s="69" t="s">
        <v>480</v>
      </c>
      <c r="B16" s="99">
        <v>25975.83</v>
      </c>
      <c r="C16" s="99">
        <v>3839.9471642899998</v>
      </c>
      <c r="D16" s="99">
        <v>19025.273000000001</v>
      </c>
      <c r="E16" s="99">
        <v>8352.9595473999998</v>
      </c>
      <c r="F16" s="81">
        <v>14</v>
      </c>
      <c r="G16" s="118">
        <v>59.076110219999997</v>
      </c>
    </row>
    <row r="17" spans="1:12" ht="27" thickTop="1" thickBot="1">
      <c r="A17" s="69" t="s">
        <v>64</v>
      </c>
      <c r="B17" s="99">
        <v>25010.01</v>
      </c>
      <c r="C17" s="99">
        <v>7113.15111325</v>
      </c>
      <c r="D17" s="99">
        <v>38522.722038599997</v>
      </c>
      <c r="E17" s="99">
        <f>12135632548.4/1000000</f>
        <v>12135.632548399999</v>
      </c>
      <c r="F17" s="81">
        <v>25</v>
      </c>
      <c r="G17" s="118">
        <v>111.14298614</v>
      </c>
    </row>
    <row r="18" spans="1:12" ht="27" thickTop="1" thickBot="1">
      <c r="A18" s="69" t="s">
        <v>71</v>
      </c>
      <c r="B18" s="99">
        <v>21585.08</v>
      </c>
      <c r="C18" s="99">
        <v>2041.47</v>
      </c>
      <c r="D18" s="99">
        <v>34634.76</v>
      </c>
      <c r="E18" s="99">
        <v>11633.52</v>
      </c>
      <c r="F18" s="81">
        <v>31</v>
      </c>
      <c r="G18" s="118">
        <f>34024467.51/1000000</f>
        <v>34.024467510000001</v>
      </c>
    </row>
    <row r="19" spans="1:12" ht="27" thickTop="1" thickBot="1">
      <c r="A19" s="116" t="s">
        <v>102</v>
      </c>
      <c r="B19" s="114">
        <v>19870.82</v>
      </c>
      <c r="C19" s="114">
        <v>1972.68407454</v>
      </c>
      <c r="D19" s="114">
        <v>35820.320226999997</v>
      </c>
      <c r="E19" s="114">
        <v>13599.199979999999</v>
      </c>
      <c r="F19" s="113">
        <v>38</v>
      </c>
      <c r="G19" s="120">
        <v>32.878067909000002</v>
      </c>
    </row>
    <row r="20" spans="1:12" ht="27" thickTop="1" thickBot="1">
      <c r="A20" s="116" t="s">
        <v>481</v>
      </c>
      <c r="B20" s="99">
        <v>19417.3</v>
      </c>
      <c r="C20" s="99">
        <v>2356.4217022199996</v>
      </c>
      <c r="D20" s="99">
        <v>35085.565046999996</v>
      </c>
      <c r="E20" s="150">
        <v>13854.867146680001</v>
      </c>
      <c r="F20" s="81">
        <v>46</v>
      </c>
      <c r="G20" s="118">
        <v>36.819089099999999</v>
      </c>
      <c r="L20" s="58"/>
    </row>
    <row r="21" spans="1:12" ht="27" thickTop="1" thickBot="1">
      <c r="A21" s="116" t="s">
        <v>425</v>
      </c>
      <c r="B21" s="114">
        <v>19892.03</v>
      </c>
      <c r="C21" s="114">
        <v>1788.3231061900001</v>
      </c>
      <c r="D21" s="114">
        <v>38726.6150156</v>
      </c>
      <c r="E21" s="114">
        <v>17460.66398293</v>
      </c>
      <c r="F21" s="113">
        <v>54</v>
      </c>
      <c r="G21" s="120">
        <v>27.94254853</v>
      </c>
      <c r="H21" s="24"/>
      <c r="I21" s="24"/>
      <c r="J21" s="24"/>
      <c r="K21" s="24"/>
      <c r="L21" s="58"/>
    </row>
    <row r="22" spans="1:12" ht="27" thickTop="1" thickBot="1">
      <c r="A22" s="69" t="s">
        <v>441</v>
      </c>
      <c r="B22" s="114">
        <v>26147.86</v>
      </c>
      <c r="C22" s="114">
        <v>1916.26</v>
      </c>
      <c r="D22" s="114">
        <v>59879.0173526</v>
      </c>
      <c r="E22" s="114">
        <v>26031.598103150001</v>
      </c>
      <c r="F22" s="113">
        <v>62</v>
      </c>
      <c r="G22" s="120">
        <v>34.840000000000003</v>
      </c>
      <c r="L22" s="58"/>
    </row>
    <row r="23" spans="1:12" ht="27" thickTop="1" thickBot="1">
      <c r="A23" s="116" t="s">
        <v>448</v>
      </c>
      <c r="B23" s="114">
        <v>22690.31</v>
      </c>
      <c r="C23" s="114">
        <v>2655.4831955500003</v>
      </c>
      <c r="D23" s="114">
        <v>47286.025592800004</v>
      </c>
      <c r="E23" s="114">
        <v>22440.431086509998</v>
      </c>
      <c r="F23" s="113">
        <v>67</v>
      </c>
      <c r="G23" s="120">
        <v>41.491924930468755</v>
      </c>
    </row>
    <row r="24" spans="1:12" ht="27" thickTop="1" thickBot="1">
      <c r="A24" s="116" t="s">
        <v>482</v>
      </c>
      <c r="B24" s="114">
        <v>24528.98</v>
      </c>
      <c r="C24" s="114">
        <v>1714.19473255</v>
      </c>
      <c r="D24" s="165">
        <v>48297.238172999998</v>
      </c>
      <c r="E24" s="114">
        <v>22515.490230930001</v>
      </c>
      <c r="F24" s="113">
        <v>79</v>
      </c>
      <c r="G24" s="120">
        <v>25.972647460000001</v>
      </c>
      <c r="H24" s="38"/>
      <c r="I24" s="172"/>
      <c r="J24" s="39"/>
    </row>
    <row r="25" spans="1:12" ht="27" thickTop="1" thickBot="1">
      <c r="A25" s="116" t="s">
        <v>580</v>
      </c>
      <c r="B25" s="114">
        <v>26030.03</v>
      </c>
      <c r="C25" s="114">
        <v>3328.0567861999998</v>
      </c>
      <c r="D25" s="165">
        <v>50830.356949699999</v>
      </c>
      <c r="E25" s="114">
        <v>27635.72973988</v>
      </c>
      <c r="F25" s="113">
        <v>85</v>
      </c>
      <c r="G25" s="120">
        <v>52.000887280000001</v>
      </c>
    </row>
    <row r="26" spans="1:12" ht="27" thickTop="1" thickBot="1">
      <c r="A26" s="116" t="s">
        <v>587</v>
      </c>
      <c r="B26" s="114">
        <v>26145.759999999998</v>
      </c>
      <c r="C26" s="114">
        <v>2698.7712526400001</v>
      </c>
      <c r="D26" s="165">
        <v>50830.356949699999</v>
      </c>
      <c r="E26" s="114">
        <v>29519.195475410001</v>
      </c>
      <c r="F26" s="113">
        <v>92</v>
      </c>
      <c r="G26" s="120">
        <v>49.068568229818183</v>
      </c>
      <c r="J26" s="33"/>
    </row>
    <row r="27" spans="1:12" ht="27" thickTop="1" thickBot="1">
      <c r="A27" s="116" t="s">
        <v>596</v>
      </c>
      <c r="B27" s="114">
        <v>25442.94</v>
      </c>
      <c r="C27" s="114">
        <v>2981.4569907399996</v>
      </c>
      <c r="D27" s="114">
        <v>55501.400996999997</v>
      </c>
      <c r="E27" s="114">
        <v>28126.891021009997</v>
      </c>
      <c r="F27" s="113">
        <v>97</v>
      </c>
      <c r="G27" s="120">
        <v>45.868569088307687</v>
      </c>
      <c r="J27" s="36"/>
    </row>
    <row r="28" spans="1:12" ht="45.75" customHeight="1" thickTop="1" thickBot="1">
      <c r="A28" s="116" t="s">
        <v>603</v>
      </c>
      <c r="B28" s="114">
        <v>31475.72</v>
      </c>
      <c r="C28" s="114">
        <v>5116.71</v>
      </c>
      <c r="D28" s="114">
        <v>58860.02</v>
      </c>
      <c r="E28" s="114">
        <v>27425.75</v>
      </c>
      <c r="F28" s="113">
        <v>106</v>
      </c>
      <c r="G28" s="120">
        <v>77.53</v>
      </c>
      <c r="J28" s="40"/>
      <c r="L28" s="58"/>
    </row>
    <row r="29" spans="1:12" ht="27" thickTop="1" thickBot="1">
      <c r="A29" s="69" t="s">
        <v>610</v>
      </c>
      <c r="B29" s="99">
        <v>31086.53</v>
      </c>
      <c r="C29" s="99">
        <v>2699.47</v>
      </c>
      <c r="D29" s="99">
        <v>59051.77</v>
      </c>
      <c r="E29" s="99">
        <v>26543.15</v>
      </c>
      <c r="F29" s="81">
        <v>113</v>
      </c>
      <c r="G29" s="118">
        <v>44.25</v>
      </c>
    </row>
    <row r="30" spans="1:12" ht="27" thickTop="1" thickBot="1">
      <c r="A30" s="116" t="s">
        <v>623</v>
      </c>
      <c r="B30" s="118">
        <v>27341.63</v>
      </c>
      <c r="C30" s="118">
        <f>1995428674.84/1000000</f>
        <v>1995.42867484</v>
      </c>
      <c r="D30" s="118">
        <f>54320902930.63/1000000</f>
        <v>54320.90293063</v>
      </c>
      <c r="E30" s="99">
        <v>25517.482580439999</v>
      </c>
      <c r="F30" s="81">
        <v>123</v>
      </c>
      <c r="G30" s="118">
        <v>33.82</v>
      </c>
    </row>
    <row r="31" spans="1:12" ht="27" thickTop="1" thickBot="1">
      <c r="A31" s="116" t="s">
        <v>691</v>
      </c>
      <c r="B31" s="114">
        <v>25472.44</v>
      </c>
      <c r="C31" s="114">
        <v>2045.86</v>
      </c>
      <c r="D31" s="114">
        <v>49121.99</v>
      </c>
      <c r="E31" s="114">
        <v>23054.720000000001</v>
      </c>
      <c r="F31" s="113">
        <v>126</v>
      </c>
      <c r="G31" s="120">
        <v>31.47</v>
      </c>
      <c r="L31" s="59"/>
    </row>
    <row r="32" spans="1:12" ht="26.25" thickTop="1">
      <c r="A32" s="116" t="s">
        <v>695</v>
      </c>
      <c r="B32" s="114">
        <v>23296.29</v>
      </c>
      <c r="C32" s="114">
        <v>1829</v>
      </c>
      <c r="D32" s="114">
        <v>42131.22</v>
      </c>
      <c r="E32" s="114">
        <v>20533.43</v>
      </c>
      <c r="F32" s="113">
        <v>126</v>
      </c>
      <c r="G32" s="120">
        <v>27.71</v>
      </c>
      <c r="J32" s="40"/>
    </row>
    <row r="38" spans="6:6">
      <c r="F38" s="168"/>
    </row>
    <row r="39" spans="6:6">
      <c r="F39" s="40"/>
    </row>
  </sheetData>
  <mergeCells count="1">
    <mergeCell ref="B6:G6"/>
  </mergeCells>
  <pageMargins left="0.7" right="0.7" top="0.75" bottom="0.75" header="0.3" footer="0.3"/>
  <pageSetup paperSize="9" orientation="portrait" r:id="rId1"/>
  <headerFooter>
    <oddFooter>&amp;C&amp;"Calibri"&amp;11&amp;K000000&amp;"Calibri"&amp;11&amp;K000000&amp;"Calibri"&amp;11&amp;K000000&amp;10&amp;K663300Classification: &amp;K000000 Internal  داخلي_x000D_&amp;1#&amp;"Calibri"&amp;10&amp;K000000Internal - داخلي</oddFooter>
    <evenFooter>&amp;C&amp;10&amp;K663300Classification: &amp;K000000 Internal  داخلي</evenFooter>
    <firstFooter>&amp;C&amp;10&amp;K663300Classification: &amp;K000000 Internal  داخلي</firstFooter>
  </headerFooter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4">
    <pageSetUpPr autoPageBreaks="0"/>
  </sheetPr>
  <dimension ref="A1:L43"/>
  <sheetViews>
    <sheetView showGridLines="0" showRowColHeaders="0" rightToLeft="1" topLeftCell="A19" zoomScale="90" zoomScaleNormal="90" workbookViewId="0">
      <selection activeCell="B32" sqref="B32:G32"/>
    </sheetView>
  </sheetViews>
  <sheetFormatPr defaultColWidth="8.42578125" defaultRowHeight="15"/>
  <cols>
    <col min="1" max="1" width="19.42578125" style="26" customWidth="1"/>
    <col min="2" max="2" width="23.42578125" style="26" customWidth="1"/>
    <col min="3" max="7" width="26.85546875" style="26" customWidth="1"/>
    <col min="8" max="8" width="9.42578125" style="26" bestFit="1" customWidth="1"/>
    <col min="9" max="16384" width="8.42578125" style="26"/>
  </cols>
  <sheetData>
    <row r="1" spans="1:10">
      <c r="B1" s="28"/>
      <c r="C1" s="28"/>
      <c r="D1" s="28"/>
    </row>
    <row r="2" spans="1:10" ht="15.75">
      <c r="A2" s="29"/>
      <c r="B2" s="29"/>
      <c r="C2" s="29"/>
      <c r="D2" s="29"/>
      <c r="E2" s="29"/>
      <c r="F2" s="29"/>
      <c r="G2" s="29"/>
      <c r="H2" s="30"/>
    </row>
    <row r="3" spans="1:10" ht="15.75">
      <c r="A3" s="29"/>
      <c r="B3" s="29"/>
      <c r="C3" s="29"/>
      <c r="D3" s="29"/>
      <c r="E3" s="29"/>
      <c r="F3" s="29"/>
      <c r="G3" s="29"/>
      <c r="H3" s="30"/>
    </row>
    <row r="4" spans="1:10" ht="15.75">
      <c r="A4" s="29"/>
      <c r="B4" s="29"/>
      <c r="C4" s="29"/>
      <c r="D4" s="29"/>
      <c r="E4" s="29"/>
      <c r="F4" s="29"/>
      <c r="G4" s="29"/>
      <c r="H4" s="30"/>
    </row>
    <row r="5" spans="1:10" ht="15.75">
      <c r="A5" s="5"/>
      <c r="B5" s="5"/>
      <c r="C5" s="5"/>
    </row>
    <row r="6" spans="1:10" ht="45.75" customHeight="1">
      <c r="C6" s="191" t="s">
        <v>671</v>
      </c>
      <c r="D6" s="191"/>
      <c r="E6" s="191"/>
      <c r="F6" s="191"/>
      <c r="G6" s="95"/>
    </row>
    <row r="7" spans="1:10" ht="26.25" thickBot="1">
      <c r="G7" s="71" t="s">
        <v>46</v>
      </c>
    </row>
    <row r="8" spans="1:10" ht="45.75" thickBot="1">
      <c r="B8" s="144" t="s">
        <v>121</v>
      </c>
      <c r="C8" s="148" t="s">
        <v>391</v>
      </c>
      <c r="D8" s="148" t="s">
        <v>392</v>
      </c>
      <c r="E8" s="148" t="s">
        <v>393</v>
      </c>
      <c r="F8" s="148" t="s">
        <v>394</v>
      </c>
      <c r="G8" s="148" t="s">
        <v>395</v>
      </c>
      <c r="H8" s="50"/>
    </row>
    <row r="9" spans="1:10" ht="27" thickTop="1" thickBot="1">
      <c r="B9" s="69" t="s">
        <v>39</v>
      </c>
      <c r="C9" s="78">
        <f>SUM('إجمالي الإيرادات - تاسي'!C10:C29)</f>
        <v>172815.02317299999</v>
      </c>
      <c r="D9" s="78">
        <f>SUM('صافي الدخل - تاسي'!B10:B29)</f>
        <v>23458.877735999999</v>
      </c>
      <c r="E9" s="78">
        <f>SUM('حقوق المساهمين - تاسي'!B10:B29)</f>
        <v>1106714.5818219997</v>
      </c>
      <c r="F9" s="78">
        <f>SUM('إجمالي الأصول - تاسي'!B10:B29)</f>
        <v>3960266.4837820008</v>
      </c>
      <c r="G9" s="78">
        <f>SUM('اجمالي الدين - تاسي'!B9:B28)</f>
        <v>709430.23400000005</v>
      </c>
    </row>
    <row r="10" spans="1:10" ht="27" thickTop="1" thickBot="1">
      <c r="B10" s="69" t="s">
        <v>40</v>
      </c>
      <c r="C10" s="78">
        <f>SUM('إجمالي الإيرادات - تاسي'!C10:C29)</f>
        <v>172815.02317299999</v>
      </c>
      <c r="D10" s="78">
        <f>SUM('صافي الدخل - تاسي'!C10:C29)</f>
        <v>19909.424246000002</v>
      </c>
      <c r="E10" s="78">
        <f>SUM('حقوق المساهمين - تاسي'!C10:C29)</f>
        <v>1107759.6744320001</v>
      </c>
      <c r="F10" s="78">
        <f>SUM('إجمالي الأصول - تاسي'!C10:C29)</f>
        <v>4132806.2189999996</v>
      </c>
      <c r="G10" s="78">
        <f>SUM('اجمالي الدين - تاسي'!C9:C28)</f>
        <v>730083.53450000007</v>
      </c>
    </row>
    <row r="11" spans="1:10" ht="27" thickTop="1" thickBot="1">
      <c r="B11" s="69" t="s">
        <v>48</v>
      </c>
      <c r="C11" s="78">
        <f>SUM('إجمالي الإيرادات - تاسي'!D10:D29)</f>
        <v>174439.81799999997</v>
      </c>
      <c r="D11" s="78">
        <f>SUM('صافي الدخل - تاسي'!D10:D29)</f>
        <v>24186.192985999998</v>
      </c>
      <c r="E11" s="78">
        <f>SUM('حقوق المساهمين - تاسي'!D10:D29)</f>
        <v>1134906.6329999999</v>
      </c>
      <c r="F11" s="78">
        <f>SUM('إجمالي الأصول - تاسي'!D10:D29)</f>
        <v>4129109.1610000008</v>
      </c>
      <c r="G11" s="78">
        <f>SUM('اجمالي الدين - تاسي'!D9:D28)</f>
        <v>723206.19949999999</v>
      </c>
    </row>
    <row r="12" spans="1:10" ht="27" thickTop="1" thickBot="1">
      <c r="B12" s="69" t="s">
        <v>470</v>
      </c>
      <c r="C12" s="78">
        <f>SUM('إجمالي الإيرادات - تاسي'!E10:E29)</f>
        <v>481778.69792900002</v>
      </c>
      <c r="D12" s="78">
        <f>SUM('صافي الدخل - تاسي'!E10:E29)</f>
        <v>407099.2097120001</v>
      </c>
      <c r="E12" s="78">
        <f>SUM('حقوق المساهمين - تاسي'!E10:E29)</f>
        <v>2185764.7526749996</v>
      </c>
      <c r="F12" s="78">
        <f>SUM('إجمالي الأصول - تاسي'!E10:E29)</f>
        <v>5712775.6686559999</v>
      </c>
      <c r="G12" s="78">
        <f>SUM('اجمالي الدين - تاسي'!E9:E28)</f>
        <v>899184.95410000009</v>
      </c>
      <c r="I12" s="40"/>
      <c r="J12" s="40"/>
    </row>
    <row r="13" spans="1:10" ht="27" thickTop="1" thickBot="1">
      <c r="A13" s="57"/>
      <c r="B13" s="69" t="s">
        <v>50</v>
      </c>
      <c r="C13" s="78">
        <f>SUM('إجمالي الإيرادات - تاسي'!F10:F29)</f>
        <v>411852.69755300006</v>
      </c>
      <c r="D13" s="78">
        <f>SUM('صافي الدخل - تاسي'!F10:F29)</f>
        <v>74366.676817000014</v>
      </c>
      <c r="E13" s="78">
        <f>SUM('حقوق المساهمين - تاسي'!F10:F29)</f>
        <v>2194421.3410740001</v>
      </c>
      <c r="F13" s="78">
        <f>SUM('إجمالي الأصول - تاسي'!F10:F29)</f>
        <v>5797253.9922639998</v>
      </c>
      <c r="G13" s="78">
        <f>SUM('اجمالي الدين - تاسي'!F9:F28)</f>
        <v>948738.3802090002</v>
      </c>
      <c r="H13" s="8"/>
    </row>
    <row r="14" spans="1:10" ht="27" thickTop="1" thickBot="1">
      <c r="A14" s="57"/>
      <c r="B14" s="69" t="s">
        <v>54</v>
      </c>
      <c r="C14" s="78">
        <f>SUM('إجمالي الإيرادات - تاسي'!G10:G29)</f>
        <v>293065.071666</v>
      </c>
      <c r="D14" s="78">
        <f>SUM('صافي الدخل - تاسي'!G10:G29)</f>
        <v>26173.864727</v>
      </c>
      <c r="E14" s="78">
        <f>SUM('حقوق المساهمين - تاسي'!G10:G29)</f>
        <v>2228572.634786</v>
      </c>
      <c r="F14" s="78">
        <f>SUM('إجمالي الأصول - تاسي'!G10:G29)</f>
        <v>6250486.3637919994</v>
      </c>
      <c r="G14" s="78">
        <f>SUM('اجمالي الدين - تاسي'!G9:G28)</f>
        <v>1298800.2445873998</v>
      </c>
      <c r="H14" s="8"/>
    </row>
    <row r="15" spans="1:10" ht="27" thickTop="1" thickBot="1">
      <c r="A15" s="57"/>
      <c r="B15" s="69" t="s">
        <v>55</v>
      </c>
      <c r="C15" s="78">
        <f>SUM('إجمالي الإيرادات - تاسي'!H10:H29)</f>
        <v>398081.66263099998</v>
      </c>
      <c r="D15" s="78">
        <f>SUM('صافي الدخل - تاسي'!H10:H29)</f>
        <v>65312.867664999998</v>
      </c>
      <c r="E15" s="78">
        <f>SUM('حقوق المساهمين - تاسي'!H10:H29)</f>
        <v>2239845.4125179998</v>
      </c>
      <c r="F15" s="78">
        <f>SUM('إجمالي الأصول - تاسي'!H10:H29)</f>
        <v>6353558.8061080007</v>
      </c>
      <c r="G15" s="78">
        <f>SUM('اجمالي الدين - تاسي'!H9:H28)</f>
        <v>1217728.8602000002</v>
      </c>
      <c r="H15" s="8"/>
    </row>
    <row r="16" spans="1:10" ht="27" thickTop="1" thickBot="1">
      <c r="A16" s="57"/>
      <c r="B16" s="69" t="s">
        <v>471</v>
      </c>
      <c r="C16" s="78">
        <f>SUM('إجمالي الإيرادات - تاسي'!I10:I29)</f>
        <v>422536.45298799995</v>
      </c>
      <c r="D16" s="78">
        <f>SUM('صافي الدخل - تاسي'!I10:I29)</f>
        <v>240445.99522399993</v>
      </c>
      <c r="E16" s="78">
        <f>SUM('حقوق المساهمين - تاسي'!I10:I29)</f>
        <v>2439008.339983</v>
      </c>
      <c r="F16" s="78">
        <f>SUM('إجمالي الأصول - تاسي'!I10:I29)</f>
        <v>6453279.6642030003</v>
      </c>
      <c r="G16" s="78">
        <f>SUM('اجمالي الدين - تاسي'!I9:I28)</f>
        <v>1302188.4455650002</v>
      </c>
    </row>
    <row r="17" spans="1:12" ht="27" thickTop="1" thickBot="1">
      <c r="A17" s="57"/>
      <c r="B17" s="69" t="s">
        <v>56</v>
      </c>
      <c r="C17" s="78">
        <f>SUM('إجمالي الإيرادات - تاسي'!J10:J29)</f>
        <v>485675.70506278105</v>
      </c>
      <c r="D17" s="78">
        <f>SUM('صافي الدخل - تاسي'!J10:J29)</f>
        <v>109914.73764299999</v>
      </c>
      <c r="E17" s="78">
        <f>SUM('حقوق المساهمين - تاسي'!J10:J29)</f>
        <v>2480726.6608270002</v>
      </c>
      <c r="F17" s="78">
        <f>SUM('إجمالي الأصول - تاسي'!J10:J29)</f>
        <v>6562535.2624500012</v>
      </c>
      <c r="G17" s="78">
        <f>SUM('اجمالي الدين - تاسي'!J9:J28)</f>
        <v>1295893.8873349999</v>
      </c>
      <c r="H17" s="40"/>
    </row>
    <row r="18" spans="1:12" ht="27" thickTop="1" thickBot="1">
      <c r="A18" s="57"/>
      <c r="B18" s="69" t="s">
        <v>57</v>
      </c>
      <c r="C18" s="78">
        <f>SUM('إجمالي الإيرادات - تاسي'!K10:K29)</f>
        <v>554758.12038900005</v>
      </c>
      <c r="D18" s="78">
        <f>SUM('صافي الدخل - تاسي'!K10:K29)</f>
        <v>134188.13696099998</v>
      </c>
      <c r="E18" s="78">
        <f>SUM('حقوق المساهمين - تاسي'!K10:K29)</f>
        <v>2581435.0631559999</v>
      </c>
      <c r="F18" s="78">
        <f>SUM('إجمالي الأصول - تاسي'!K10:K29)</f>
        <v>6754753.3324560001</v>
      </c>
      <c r="G18" s="78">
        <f>SUM('اجمالي الدين - تاسي'!K9:K28)</f>
        <v>1304541.998747</v>
      </c>
      <c r="H18" s="40"/>
    </row>
    <row r="19" spans="1:12" ht="27" thickTop="1" thickBot="1">
      <c r="A19" s="57"/>
      <c r="B19" s="69" t="s">
        <v>63</v>
      </c>
      <c r="C19" s="78">
        <f>SUM('إجمالي الإيرادات - تاسي'!L10:L29)</f>
        <v>610935.13542599999</v>
      </c>
      <c r="D19" s="78">
        <f>SUM('صافي الدخل - تاسي'!L10:L29)</f>
        <v>152290.10315399998</v>
      </c>
      <c r="E19" s="78">
        <f>SUM('حقوق المساهمين - تاسي'!L10:L29)</f>
        <v>2658712.0661220001</v>
      </c>
      <c r="F19" s="78">
        <f>SUM('إجمالي الأصول - تاسي'!L10:L29)</f>
        <v>6868511.6568050003</v>
      </c>
      <c r="G19" s="78">
        <f>SUM('اجمالي الدين - تاسي'!L9:L28)</f>
        <v>1305155.7143120002</v>
      </c>
      <c r="H19" s="57"/>
      <c r="I19" s="57"/>
    </row>
    <row r="20" spans="1:12" ht="27" thickTop="1" thickBot="1">
      <c r="B20" s="69" t="s">
        <v>472</v>
      </c>
      <c r="C20" s="78">
        <f>SUM('إجمالي الإيرادات - تاسي'!M10:M29)</f>
        <v>2317260.8331879997</v>
      </c>
      <c r="D20" s="78">
        <f>SUM('صافي الدخل - تاسي'!M10:M29)</f>
        <v>553527.20554900006</v>
      </c>
      <c r="E20" s="78">
        <f>SUM('حقوق المساهمين - تاسي'!M10:M29)</f>
        <v>2751574.6207209998</v>
      </c>
      <c r="F20" s="78">
        <f>SUM('إجمالي الأصول - تاسي'!M10:M29)</f>
        <v>7084757.2365530003</v>
      </c>
      <c r="G20" s="78">
        <f>SUM('اجمالي الدين - تاسي'!M9:M28)</f>
        <v>1326132.2044290002</v>
      </c>
    </row>
    <row r="21" spans="1:12" ht="27" thickTop="1" thickBot="1">
      <c r="B21" s="69" t="s">
        <v>64</v>
      </c>
      <c r="C21" s="78">
        <v>757512.28951110004</v>
      </c>
      <c r="D21" s="78">
        <v>192862.95410999999</v>
      </c>
      <c r="E21" s="78">
        <v>2947569.5947739994</v>
      </c>
      <c r="F21" s="78">
        <v>7425451.2806840008</v>
      </c>
      <c r="G21" s="78">
        <v>1295242.356015</v>
      </c>
    </row>
    <row r="22" spans="1:12" ht="27" thickTop="1" thickBot="1">
      <c r="B22" s="69" t="s">
        <v>71</v>
      </c>
      <c r="C22" s="78">
        <v>905996.28952500015</v>
      </c>
      <c r="D22" s="78">
        <v>230555.40123700001</v>
      </c>
      <c r="E22" s="78">
        <v>3048406.4199980004</v>
      </c>
      <c r="F22" s="78">
        <v>7641643.8695650008</v>
      </c>
      <c r="G22" s="78">
        <v>1286004.9203370002</v>
      </c>
    </row>
    <row r="23" spans="1:12" ht="27" thickTop="1" thickBot="1">
      <c r="B23" s="69" t="s">
        <v>102</v>
      </c>
      <c r="C23" s="78">
        <v>857068.14700700005</v>
      </c>
      <c r="D23" s="78">
        <v>198161.85815499999</v>
      </c>
      <c r="E23" s="78">
        <v>3171641.4858520003</v>
      </c>
      <c r="F23" s="78">
        <v>7718515.3146180017</v>
      </c>
      <c r="G23" s="78">
        <v>1289907.335158</v>
      </c>
    </row>
    <row r="24" spans="1:12" ht="27" thickTop="1" thickBot="1">
      <c r="B24" s="116" t="s">
        <v>473</v>
      </c>
      <c r="C24" s="78">
        <v>3278860.0659898333</v>
      </c>
      <c r="D24" s="78">
        <v>770782.27821433346</v>
      </c>
      <c r="E24" s="78">
        <v>3264542.3007890005</v>
      </c>
      <c r="F24" s="78">
        <v>7877342.8379289983</v>
      </c>
      <c r="G24" s="78">
        <v>1315813.196885</v>
      </c>
    </row>
    <row r="25" spans="1:12" ht="27" thickTop="1" thickBot="1">
      <c r="B25" s="69" t="s">
        <v>425</v>
      </c>
      <c r="C25" s="78">
        <f>SUM(Table10[الربع   الأول عام 2023م
First quarter 2023])</f>
        <v>686140.20739300002</v>
      </c>
      <c r="D25" s="78">
        <f>SUM(Table11[الربع   الأول عام 2023م
First quarter 2023])</f>
        <v>149949.795213</v>
      </c>
      <c r="E25" s="78">
        <f>SUM(Table12[الربع   الأول عام 2023م
First quarter 2023])</f>
        <v>3314138.352469</v>
      </c>
      <c r="F25" s="78">
        <f>SUM(Table13[الربع   الأول عام 2023م
First quarter 2023])</f>
        <v>8002358.1310359994</v>
      </c>
      <c r="G25" s="78">
        <f>SUM(Table14[الربع   الأول عام 2023م
First quarter 2023])</f>
        <v>1435101.5989679999</v>
      </c>
    </row>
    <row r="26" spans="1:12" ht="27" thickTop="1" thickBot="1">
      <c r="B26" s="69" t="s">
        <v>475</v>
      </c>
      <c r="C26" s="78">
        <f>SUM(Table10[الربع   الثاني عام 2023م
Second quarter 2023])</f>
        <v>677842.43051799992</v>
      </c>
      <c r="D26" s="78">
        <f>SUM(Table11[الربع   الثاني عام 2023م
Second quarter 2023])</f>
        <v>147393.36560300001</v>
      </c>
      <c r="E26" s="78">
        <f>SUM(Table12[الربع   الثاني عام 2023م
Second quarter 2023])</f>
        <v>3099577.2205330003</v>
      </c>
      <c r="F26" s="78">
        <f>SUM(Table13[الربع   الثاني عام 2023م
Second quarter 2023])</f>
        <v>8043125.0995870009</v>
      </c>
      <c r="G26" s="78">
        <f>SUM(Table14[الربع   الثاني عام 2023م
Second quarter 2023])</f>
        <v>1412130.2646679997</v>
      </c>
      <c r="I26" s="40"/>
      <c r="J26" s="40"/>
      <c r="K26" s="40"/>
      <c r="L26" s="40"/>
    </row>
    <row r="27" spans="1:12" ht="27" thickTop="1" thickBot="1">
      <c r="B27" s="69" t="s">
        <v>615</v>
      </c>
      <c r="C27" s="78">
        <f>SUM(Table10[الربع  الثالث عام 2023م
Third quarter 2023])</f>
        <v>728037.03044200002</v>
      </c>
      <c r="D27" s="78">
        <f>SUM(Table11[الربع  الثالث عام 2023م
Third quarter 2023])</f>
        <v>156877.24419699999</v>
      </c>
      <c r="E27" s="78">
        <f>SUM(Table12[الربع  الثالث عام 2023م
Third quarter 2023])</f>
        <v>3088376.5954590002</v>
      </c>
      <c r="F27" s="78">
        <f>SUM(Table13[الربع  الثالث عام 2023م
Third quarter 2023])</f>
        <v>8215698.1667290004</v>
      </c>
      <c r="G27" s="78">
        <f>SUM(Table14[الربع  الثالث عام 2023م
Third quarter 2023])</f>
        <v>1471475.6096790002</v>
      </c>
    </row>
    <row r="28" spans="1:12" ht="27" thickTop="1" thickBot="1">
      <c r="B28" s="116" t="s">
        <v>595</v>
      </c>
      <c r="C28" s="78">
        <f>SUM(Table10[عام 2023م
2023])</f>
        <v>2763192.7712309998</v>
      </c>
      <c r="D28" s="78">
        <f>SUM(Table11[عام 2023م
2023])</f>
        <v>580750.06821000006</v>
      </c>
      <c r="E28" s="78">
        <f>SUM(Table12[عام 2023م
2023])</f>
        <v>3103873.7692660005</v>
      </c>
      <c r="F28" s="78">
        <f>SUM(Table13[عام 2023م
2023])</f>
        <v>8262513.9841239993</v>
      </c>
      <c r="G28" s="78">
        <f>SUM(Table14[عام 2023م
2023])</f>
        <v>1361402.0788360001</v>
      </c>
    </row>
    <row r="29" spans="1:12" ht="27" thickTop="1" thickBot="1">
      <c r="B29" s="69" t="s">
        <v>612</v>
      </c>
      <c r="C29" s="78">
        <v>665547.51</v>
      </c>
      <c r="D29" s="78">
        <v>136234.60999999999</v>
      </c>
      <c r="E29" s="78">
        <v>3115165.4</v>
      </c>
      <c r="F29" s="78">
        <v>8414221.5199999996</v>
      </c>
      <c r="G29" s="78">
        <v>1335560.99</v>
      </c>
    </row>
    <row r="30" spans="1:12" ht="27" thickTop="1" thickBot="1">
      <c r="B30" s="69" t="s">
        <v>613</v>
      </c>
      <c r="C30" s="78">
        <v>710397.94</v>
      </c>
      <c r="D30" s="78">
        <v>150863.54999999999</v>
      </c>
      <c r="E30" s="78">
        <v>3127848.02</v>
      </c>
      <c r="F30" s="78">
        <v>8515672.7200000007</v>
      </c>
      <c r="G30" s="78">
        <v>1380493.29</v>
      </c>
    </row>
    <row r="31" spans="1:12" ht="27" thickTop="1" thickBot="1">
      <c r="B31" s="69" t="s">
        <v>614</v>
      </c>
      <c r="C31" s="78">
        <v>718659.9</v>
      </c>
      <c r="D31" s="78">
        <v>147665.98000000001</v>
      </c>
      <c r="E31" s="78">
        <v>3127848.02</v>
      </c>
      <c r="F31" s="78">
        <v>8683240.5600000005</v>
      </c>
      <c r="G31" s="78">
        <v>1495907.81</v>
      </c>
    </row>
    <row r="32" spans="1:12" ht="46.5" thickTop="1" thickBot="1">
      <c r="B32" s="144" t="s">
        <v>122</v>
      </c>
      <c r="C32" s="148" t="s">
        <v>420</v>
      </c>
      <c r="D32" s="148" t="s">
        <v>421</v>
      </c>
      <c r="E32" s="148" t="s">
        <v>422</v>
      </c>
      <c r="F32" s="148" t="s">
        <v>423</v>
      </c>
      <c r="G32" s="148" t="s">
        <v>424</v>
      </c>
    </row>
    <row r="33" spans="2:7" ht="27" thickTop="1" thickBot="1">
      <c r="B33" s="116" t="s">
        <v>58</v>
      </c>
      <c r="C33" s="92">
        <v>1165.6886169999998</v>
      </c>
      <c r="D33" s="92">
        <v>266.97729399999997</v>
      </c>
      <c r="E33" s="92">
        <v>2631.166823</v>
      </c>
      <c r="F33" s="92">
        <v>3527.1722120000004</v>
      </c>
      <c r="G33" s="92">
        <v>504.27287680000006</v>
      </c>
    </row>
    <row r="34" spans="2:7" ht="27" thickTop="1" thickBot="1">
      <c r="B34" s="69" t="s">
        <v>472</v>
      </c>
      <c r="C34" s="78">
        <v>3766.2350539999998</v>
      </c>
      <c r="D34" s="78">
        <v>571.52008999999998</v>
      </c>
      <c r="E34" s="78">
        <v>4055.8436339999994</v>
      </c>
      <c r="F34" s="78">
        <v>6824.0568319999993</v>
      </c>
      <c r="G34" s="78">
        <v>1651.4141179999997</v>
      </c>
    </row>
    <row r="35" spans="2:7" ht="27" thickTop="1" thickBot="1">
      <c r="B35" s="116" t="s">
        <v>83</v>
      </c>
      <c r="C35" s="92">
        <v>4870.1511010000004</v>
      </c>
      <c r="D35" s="92">
        <v>2704.5840860000008</v>
      </c>
      <c r="E35" s="92">
        <v>8006.1825450000006</v>
      </c>
      <c r="F35" s="92">
        <v>14580.550729000001</v>
      </c>
      <c r="G35" s="92">
        <v>3137.0965210000004</v>
      </c>
    </row>
    <row r="36" spans="2:7" ht="27" thickTop="1" thickBot="1">
      <c r="B36" s="69" t="s">
        <v>473</v>
      </c>
      <c r="C36" s="92">
        <v>11820.037997999998</v>
      </c>
      <c r="D36" s="92">
        <v>1341.6394140000002</v>
      </c>
      <c r="E36" s="92">
        <v>9631.1888479999998</v>
      </c>
      <c r="F36" s="92">
        <v>17239.968257999997</v>
      </c>
      <c r="G36" s="92">
        <v>3640.7403320000008</v>
      </c>
    </row>
    <row r="37" spans="2:7" ht="27" thickTop="1" thickBot="1">
      <c r="B37" s="116" t="s">
        <v>478</v>
      </c>
      <c r="C37" s="92">
        <f>SUM(Table15[النصف الأول عام 2023م
First Half 2023])</f>
        <v>7964.183426999999</v>
      </c>
      <c r="D37" s="92">
        <f>SUM(Table16[النصف الأول عام 2023م
First Half 2023])</f>
        <v>767.07760099999996</v>
      </c>
      <c r="E37" s="92">
        <f>SUM(Table17[النصف الأول عام 2023م
First Half 2023])</f>
        <v>10778.842028000003</v>
      </c>
      <c r="F37" s="92">
        <f>SUM(Table18[النصف الأول عام 2023م
First Half 2023])</f>
        <v>20159.921429999995</v>
      </c>
      <c r="G37" s="92">
        <f>SUM(Table19[النصف الأول عام 2023م
First Half 2023])</f>
        <v>6446.3643680000005</v>
      </c>
    </row>
    <row r="38" spans="2:7" ht="27" thickTop="1" thickBot="1">
      <c r="B38" s="116" t="s">
        <v>595</v>
      </c>
      <c r="C38" s="78">
        <f>SUM(Table15[عام 2023م
2023])</f>
        <v>17181.071849000004</v>
      </c>
      <c r="D38" s="78">
        <f>SUM(Table16[عام 2023م
2023])</f>
        <v>1577.1810890000002</v>
      </c>
      <c r="E38" s="78">
        <f>SUM(Table17[عام 2023م
2023])</f>
        <v>11445.412944999998</v>
      </c>
      <c r="F38" s="78">
        <f>SUM(Table18[عام 2023م
2023])</f>
        <v>22925.083269999999</v>
      </c>
      <c r="G38" s="78">
        <f>SUM(Table19[عام 2023م
2023])</f>
        <v>7888.5307979999998</v>
      </c>
    </row>
    <row r="39" spans="2:7" ht="27" thickTop="1" thickBot="1">
      <c r="B39" s="69" t="s">
        <v>616</v>
      </c>
      <c r="C39" s="78">
        <v>11364.8</v>
      </c>
      <c r="D39" s="78">
        <v>933.54</v>
      </c>
      <c r="E39" s="78">
        <v>15194.35</v>
      </c>
      <c r="F39" s="78">
        <v>29323.119999999999</v>
      </c>
      <c r="G39" s="78">
        <v>8793.56</v>
      </c>
    </row>
    <row r="40" spans="2:7" ht="15.75" thickTop="1">
      <c r="B40" s="23" t="s">
        <v>73</v>
      </c>
      <c r="G40" s="47" t="s">
        <v>76</v>
      </c>
    </row>
    <row r="41" spans="2:7">
      <c r="B41" s="23" t="s">
        <v>74</v>
      </c>
      <c r="G41" s="47" t="s">
        <v>77</v>
      </c>
    </row>
    <row r="42" spans="2:7">
      <c r="B42" s="23" t="s">
        <v>75</v>
      </c>
      <c r="G42" s="47" t="s">
        <v>78</v>
      </c>
    </row>
    <row r="43" spans="2:7">
      <c r="B43" s="23"/>
      <c r="C43" s="47"/>
      <c r="D43" s="47"/>
      <c r="E43" s="47"/>
      <c r="F43" s="47"/>
      <c r="G43" s="46"/>
    </row>
  </sheetData>
  <mergeCells count="1">
    <mergeCell ref="C6:F6"/>
  </mergeCells>
  <hyperlinks>
    <hyperlink ref="A5:C5" location="Main!G8" display="العودة للصفحة الرئيسية" xr:uid="{00000000-0004-0000-1000-000000000000}"/>
  </hyperlinks>
  <pageMargins left="0.7" right="0.7" top="0.75" bottom="0.75" header="0.3" footer="0.3"/>
  <pageSetup paperSize="9" orientation="portrait" r:id="rId1"/>
  <headerFooter>
    <oddFooter>&amp;C&amp;"Calibri"&amp;11&amp;K000000&amp;"Calibri"&amp;11&amp;K000000&amp;"Calibri"&amp;11&amp;K000000&amp;10&amp;K663300Classification: &amp;K000000 Internal  داخلي_x000D_&amp;1#&amp;"Calibri"&amp;10&amp;K000000Internal - داخلي</oddFooter>
    <evenFooter>&amp;C&amp;10&amp;K663300Classification: &amp;K000000 Internal  داخلي</evenFooter>
    <firstFooter>&amp;C&amp;10&amp;K663300Classification: &amp;K000000 Internal  داخلي</firstFooter>
  </headerFooter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5">
    <pageSetUpPr autoPageBreaks="0"/>
  </sheetPr>
  <dimension ref="A1:Z53"/>
  <sheetViews>
    <sheetView showGridLines="0" showRowColHeaders="0" rightToLeft="1" topLeftCell="A10" zoomScale="80" zoomScaleNormal="80" workbookViewId="0">
      <pane xSplit="1" topLeftCell="B1" activePane="topRight" state="frozen"/>
      <selection pane="topRight" activeCell="B32" sqref="B32"/>
    </sheetView>
  </sheetViews>
  <sheetFormatPr defaultColWidth="8.42578125" defaultRowHeight="15"/>
  <cols>
    <col min="1" max="1" width="66.85546875" style="26" customWidth="1"/>
    <col min="2" max="15" width="17.42578125" style="26" customWidth="1"/>
    <col min="16" max="36" width="14.42578125" style="26" customWidth="1"/>
    <col min="37" max="16384" width="8.42578125" style="26"/>
  </cols>
  <sheetData>
    <row r="1" spans="1:26" ht="15" customHeight="1">
      <c r="A1" s="28"/>
    </row>
    <row r="2" spans="1:26" ht="15" customHeight="1">
      <c r="A2" s="29"/>
    </row>
    <row r="3" spans="1:26" ht="15" customHeight="1"/>
    <row r="4" spans="1:26" ht="15" customHeight="1">
      <c r="A4" s="29"/>
    </row>
    <row r="5" spans="1:26" ht="15.75">
      <c r="A5" s="5"/>
    </row>
    <row r="6" spans="1:26" ht="55.5" customHeight="1">
      <c r="B6" s="191" t="s">
        <v>672</v>
      </c>
      <c r="C6" s="191"/>
      <c r="D6" s="191"/>
      <c r="E6" s="191"/>
      <c r="F6" s="191"/>
      <c r="G6" s="191"/>
      <c r="H6" s="191"/>
    </row>
    <row r="7" spans="1:26" ht="30.75" customHeight="1" thickBot="1">
      <c r="F7" s="49"/>
      <c r="G7" s="49"/>
      <c r="H7" s="49"/>
      <c r="O7" s="121"/>
    </row>
    <row r="8" spans="1:26" ht="51" customHeight="1">
      <c r="D8" s="52"/>
      <c r="E8" s="52"/>
      <c r="U8" s="121" t="s">
        <v>46</v>
      </c>
      <c r="V8" s="121"/>
      <c r="W8" s="121"/>
      <c r="X8" s="121"/>
    </row>
    <row r="9" spans="1:26" ht="60.75" thickBot="1">
      <c r="A9" s="108" t="s">
        <v>8</v>
      </c>
      <c r="B9" s="104" t="s">
        <v>84</v>
      </c>
      <c r="C9" s="104" t="s">
        <v>40</v>
      </c>
      <c r="D9" s="104" t="s">
        <v>48</v>
      </c>
      <c r="E9" s="104" t="s">
        <v>474</v>
      </c>
      <c r="F9" s="104" t="s">
        <v>85</v>
      </c>
      <c r="G9" s="104" t="s">
        <v>86</v>
      </c>
      <c r="H9" s="104" t="s">
        <v>87</v>
      </c>
      <c r="I9" s="104" t="s">
        <v>471</v>
      </c>
      <c r="J9" s="104" t="s">
        <v>88</v>
      </c>
      <c r="K9" s="104" t="s">
        <v>89</v>
      </c>
      <c r="L9" s="104" t="s">
        <v>90</v>
      </c>
      <c r="M9" s="104" t="s">
        <v>434</v>
      </c>
      <c r="N9" s="104" t="s">
        <v>91</v>
      </c>
      <c r="O9" s="104" t="s">
        <v>100</v>
      </c>
      <c r="P9" s="104" t="s">
        <v>390</v>
      </c>
      <c r="Q9" s="104" t="s">
        <v>435</v>
      </c>
      <c r="R9" s="104" t="s">
        <v>456</v>
      </c>
      <c r="S9" s="104" t="s">
        <v>457</v>
      </c>
      <c r="T9" s="104" t="s">
        <v>458</v>
      </c>
      <c r="U9" s="104" t="s">
        <v>594</v>
      </c>
      <c r="V9" s="104" t="s">
        <v>612</v>
      </c>
      <c r="W9" s="104" t="s">
        <v>613</v>
      </c>
      <c r="X9" s="104" t="s">
        <v>614</v>
      </c>
    </row>
    <row r="10" spans="1:26" ht="32.450000000000003" customHeight="1" thickTop="1" thickBot="1">
      <c r="A10" s="106" t="s">
        <v>365</v>
      </c>
      <c r="B10" s="78">
        <v>2314.183</v>
      </c>
      <c r="C10" s="78">
        <v>2939.1759999999999</v>
      </c>
      <c r="D10" s="78">
        <v>2667.5729999999999</v>
      </c>
      <c r="E10" s="78">
        <v>3081.7653000000028</v>
      </c>
      <c r="F10" s="78">
        <v>1688.0669999999998</v>
      </c>
      <c r="G10" s="78">
        <v>1725.635</v>
      </c>
      <c r="H10" s="78">
        <v>1470.6759999999995</v>
      </c>
      <c r="I10" s="78">
        <v>2231.0683929999996</v>
      </c>
      <c r="J10" s="78">
        <v>1585.1761017810002</v>
      </c>
      <c r="K10" s="78">
        <v>2577.8113000000003</v>
      </c>
      <c r="L10" s="78">
        <v>1761.9580000000001</v>
      </c>
      <c r="M10" s="78">
        <v>10075.923750000002</v>
      </c>
      <c r="N10" s="78">
        <v>3405.4190700000008</v>
      </c>
      <c r="O10" s="78">
        <v>2908.6499570000005</v>
      </c>
      <c r="P10" s="145">
        <v>3331.3302100000001</v>
      </c>
      <c r="Q10" s="145">
        <v>12974.412751</v>
      </c>
      <c r="R10" s="145">
        <v>3434.1198220000001</v>
      </c>
      <c r="S10" s="145">
        <v>3738.0431640000002</v>
      </c>
      <c r="T10" s="145">
        <v>3052.5524230000001</v>
      </c>
      <c r="U10" s="145">
        <v>14195.828111000001</v>
      </c>
      <c r="V10" s="145">
        <v>3782.96</v>
      </c>
      <c r="W10" s="145">
        <v>4155.5</v>
      </c>
      <c r="X10" s="145">
        <v>3108.63</v>
      </c>
      <c r="Z10" s="41"/>
    </row>
    <row r="11" spans="1:26" ht="32.450000000000003" customHeight="1" thickTop="1" thickBot="1">
      <c r="A11" s="106" t="s">
        <v>479</v>
      </c>
      <c r="B11" s="78">
        <v>19005.616999999998</v>
      </c>
      <c r="C11" s="78">
        <v>19369.062999999998</v>
      </c>
      <c r="D11" s="78">
        <v>19685.187000000002</v>
      </c>
      <c r="E11" s="78">
        <v>18875.403000000006</v>
      </c>
      <c r="F11" s="78">
        <v>20224.47</v>
      </c>
      <c r="G11" s="78">
        <v>20677.061999999998</v>
      </c>
      <c r="H11" s="78">
        <v>20353.692999999999</v>
      </c>
      <c r="I11" s="78">
        <v>20950.648361000007</v>
      </c>
      <c r="J11" s="78">
        <v>21485.481999999996</v>
      </c>
      <c r="K11" s="78">
        <v>21732.998</v>
      </c>
      <c r="L11" s="78">
        <v>21726.109</v>
      </c>
      <c r="M11" s="78">
        <v>87384.611999999994</v>
      </c>
      <c r="N11" s="78">
        <v>23223.130999999998</v>
      </c>
      <c r="O11" s="78">
        <v>23306.007000000001</v>
      </c>
      <c r="P11" s="78">
        <v>23104.238000000001</v>
      </c>
      <c r="Q11" s="78">
        <v>93600.198115000007</v>
      </c>
      <c r="R11" s="145">
        <v>25255.994999999999</v>
      </c>
      <c r="S11" s="145">
        <v>25696.705999999998</v>
      </c>
      <c r="T11" s="145">
        <v>24969.127</v>
      </c>
      <c r="U11" s="78">
        <v>99998.055999999997</v>
      </c>
      <c r="V11" s="78">
        <v>27196.799999999999</v>
      </c>
      <c r="W11" s="78">
        <v>26482.51</v>
      </c>
      <c r="X11" s="78">
        <v>26071.45</v>
      </c>
      <c r="Z11" s="41"/>
    </row>
    <row r="12" spans="1:26" ht="32.450000000000003" customHeight="1" thickTop="1" thickBot="1">
      <c r="A12" s="106" t="s">
        <v>366</v>
      </c>
      <c r="B12" s="78">
        <v>362.64700000000005</v>
      </c>
      <c r="C12" s="78">
        <v>319.48399999999998</v>
      </c>
      <c r="D12" s="78">
        <v>278.78199999999998</v>
      </c>
      <c r="E12" s="78">
        <v>645.65300000000002</v>
      </c>
      <c r="F12" s="78">
        <v>480.45300000000003</v>
      </c>
      <c r="G12" s="78">
        <v>359.428</v>
      </c>
      <c r="H12" s="78">
        <v>396.68199999999996</v>
      </c>
      <c r="I12" s="78">
        <v>382.46199999999999</v>
      </c>
      <c r="J12" s="78">
        <v>469.38800000000003</v>
      </c>
      <c r="K12" s="78">
        <v>345.07</v>
      </c>
      <c r="L12" s="78">
        <v>320.892</v>
      </c>
      <c r="M12" s="78">
        <v>1493.6880000000001</v>
      </c>
      <c r="N12" s="78">
        <v>460.67599999999999</v>
      </c>
      <c r="O12" s="78">
        <v>327.12300000000005</v>
      </c>
      <c r="P12" s="78">
        <v>372.84100000000001</v>
      </c>
      <c r="Q12" s="78">
        <v>1438.7439999999999</v>
      </c>
      <c r="R12" s="145">
        <v>841.82899999999995</v>
      </c>
      <c r="S12" s="145">
        <v>714.29499999999996</v>
      </c>
      <c r="T12" s="145">
        <v>674.23299999999995</v>
      </c>
      <c r="U12" s="78">
        <v>2753.9029999999998</v>
      </c>
      <c r="V12" s="78">
        <v>936.68</v>
      </c>
      <c r="W12" s="78">
        <v>820.25</v>
      </c>
      <c r="X12" s="78">
        <v>855.66</v>
      </c>
      <c r="Z12" s="41"/>
    </row>
    <row r="13" spans="1:26" ht="32.450000000000003" customHeight="1" thickTop="1" thickBot="1">
      <c r="A13" s="106" t="s">
        <v>460</v>
      </c>
      <c r="B13" s="78">
        <v>1530.4680000000001</v>
      </c>
      <c r="C13" s="78">
        <v>1118.3879999999999</v>
      </c>
      <c r="D13" s="78">
        <v>1081.336</v>
      </c>
      <c r="E13" s="78">
        <v>1044.1800000000003</v>
      </c>
      <c r="F13" s="78">
        <v>903.65200000000004</v>
      </c>
      <c r="G13" s="78">
        <v>508.68700000000001</v>
      </c>
      <c r="H13" s="78">
        <v>615.78300000000002</v>
      </c>
      <c r="I13" s="78">
        <v>615.75600000000031</v>
      </c>
      <c r="J13" s="78">
        <v>829.21999999999991</v>
      </c>
      <c r="K13" s="78">
        <v>1143.085</v>
      </c>
      <c r="L13" s="78">
        <v>922.61699999999996</v>
      </c>
      <c r="M13" s="78">
        <v>5971.0569999999998</v>
      </c>
      <c r="N13" s="78">
        <v>7408.1809999999987</v>
      </c>
      <c r="O13" s="78">
        <v>1827.0630000000001</v>
      </c>
      <c r="P13" s="78">
        <v>1173.1179999999999</v>
      </c>
      <c r="Q13" s="78">
        <v>12839.920999999998</v>
      </c>
      <c r="R13" s="145">
        <v>1334.6621769999999</v>
      </c>
      <c r="S13" s="145">
        <v>1538.15833</v>
      </c>
      <c r="T13" s="145">
        <v>1192.711984</v>
      </c>
      <c r="U13" s="78">
        <v>5025.1277389999996</v>
      </c>
      <c r="V13" s="78">
        <v>1301.3599999999999</v>
      </c>
      <c r="W13" s="78">
        <v>1313.88</v>
      </c>
      <c r="X13" s="78">
        <v>1344.83</v>
      </c>
      <c r="Z13" s="41"/>
    </row>
    <row r="14" spans="1:26" ht="32.450000000000003" customHeight="1" thickTop="1" thickBot="1">
      <c r="A14" s="106" t="s">
        <v>459</v>
      </c>
      <c r="B14" s="78">
        <v>545.02799999999991</v>
      </c>
      <c r="C14" s="78">
        <v>592.279</v>
      </c>
      <c r="D14" s="78">
        <v>587.22500000000002</v>
      </c>
      <c r="E14" s="78">
        <v>756.72900000000027</v>
      </c>
      <c r="F14" s="78">
        <v>557.33000000000004</v>
      </c>
      <c r="G14" s="78">
        <v>574.05700000000002</v>
      </c>
      <c r="H14" s="78">
        <v>614.98800000000006</v>
      </c>
      <c r="I14" s="78">
        <v>654.25316799999996</v>
      </c>
      <c r="J14" s="78">
        <v>602.53899999999999</v>
      </c>
      <c r="K14" s="78">
        <v>728.21899999999994</v>
      </c>
      <c r="L14" s="78">
        <v>856.78700000000003</v>
      </c>
      <c r="M14" s="78">
        <v>3806.0940000000001</v>
      </c>
      <c r="N14" s="78">
        <v>1191.481</v>
      </c>
      <c r="O14" s="78">
        <v>1212.9590000000001</v>
      </c>
      <c r="P14" s="78">
        <v>1306.0649999999998</v>
      </c>
      <c r="Q14" s="78">
        <v>5018.4816666666666</v>
      </c>
      <c r="R14" s="145">
        <v>1235.1500000000001</v>
      </c>
      <c r="S14" s="145">
        <v>1328.9490000000001</v>
      </c>
      <c r="T14" s="145">
        <v>1404.498</v>
      </c>
      <c r="U14" s="78">
        <v>5057.0501430000004</v>
      </c>
      <c r="V14" s="78">
        <v>2557.8000000000002</v>
      </c>
      <c r="W14" s="78">
        <v>2199.54</v>
      </c>
      <c r="X14" s="78">
        <v>1995.44</v>
      </c>
      <c r="Z14" s="41"/>
    </row>
    <row r="15" spans="1:26" ht="32.450000000000003" customHeight="1" thickTop="1" thickBot="1">
      <c r="A15" s="106" t="s">
        <v>367</v>
      </c>
      <c r="B15" s="78">
        <v>1689.961</v>
      </c>
      <c r="C15" s="78">
        <v>1737.2650000000001</v>
      </c>
      <c r="D15" s="78">
        <v>2030.3720000000001</v>
      </c>
      <c r="E15" s="78">
        <v>1820.3790880000015</v>
      </c>
      <c r="F15" s="78">
        <v>3165.9950490000001</v>
      </c>
      <c r="G15" s="78">
        <v>978.11515499999985</v>
      </c>
      <c r="H15" s="78">
        <v>1211.529724</v>
      </c>
      <c r="I15" s="78">
        <v>1581.525963</v>
      </c>
      <c r="J15" s="78">
        <v>1299.0151170000001</v>
      </c>
      <c r="K15" s="78">
        <v>1470.3055570000001</v>
      </c>
      <c r="L15" s="78">
        <v>1646.9242609999999</v>
      </c>
      <c r="M15" s="78">
        <v>5974.7064470000005</v>
      </c>
      <c r="N15" s="78">
        <v>2017.7037409999998</v>
      </c>
      <c r="O15" s="78">
        <v>1942.2257979999999</v>
      </c>
      <c r="P15" s="78">
        <v>2489.9381780000003</v>
      </c>
      <c r="Q15" s="78">
        <v>17520.191205499999</v>
      </c>
      <c r="R15" s="145">
        <v>4790.3090309999998</v>
      </c>
      <c r="S15" s="145">
        <v>5077.1855230000001</v>
      </c>
      <c r="T15" s="145">
        <v>5201.0311039999997</v>
      </c>
      <c r="U15" s="78">
        <v>18878.565244000001</v>
      </c>
      <c r="V15" s="78">
        <v>4271.76</v>
      </c>
      <c r="W15" s="78">
        <v>4523.33</v>
      </c>
      <c r="X15" s="78">
        <v>5202.1899999999996</v>
      </c>
      <c r="Z15" s="41"/>
    </row>
    <row r="16" spans="1:26" ht="32.450000000000003" customHeight="1" thickTop="1" thickBot="1">
      <c r="A16" s="106" t="s">
        <v>368</v>
      </c>
      <c r="B16" s="78">
        <v>726.81400000000008</v>
      </c>
      <c r="C16" s="78">
        <v>1156.5830000000001</v>
      </c>
      <c r="D16" s="78">
        <v>1230.7729999999999</v>
      </c>
      <c r="E16" s="78">
        <v>1507.4070000000002</v>
      </c>
      <c r="F16" s="78">
        <v>1040.0929999999998</v>
      </c>
      <c r="G16" s="78">
        <v>668.82299999999998</v>
      </c>
      <c r="H16" s="78">
        <v>707.952</v>
      </c>
      <c r="I16" s="78">
        <v>769.25000000000045</v>
      </c>
      <c r="J16" s="78">
        <v>769.60199999999986</v>
      </c>
      <c r="K16" s="78">
        <v>793.30899999999997</v>
      </c>
      <c r="L16" s="78">
        <v>888.61300000000006</v>
      </c>
      <c r="M16" s="78">
        <v>3413.9279999999999</v>
      </c>
      <c r="N16" s="78">
        <v>1042.136</v>
      </c>
      <c r="O16" s="78">
        <v>1114.7270000000001</v>
      </c>
      <c r="P16" s="78">
        <v>1260.3310000000001</v>
      </c>
      <c r="Q16" s="78">
        <v>4720.9160000000002</v>
      </c>
      <c r="R16" s="145">
        <v>1556.3230000000001</v>
      </c>
      <c r="S16" s="145">
        <v>1518.3920000000001</v>
      </c>
      <c r="T16" s="145">
        <v>1584.0989999999999</v>
      </c>
      <c r="U16" s="78">
        <v>6167.8850000000002</v>
      </c>
      <c r="V16" s="78">
        <v>1666.31</v>
      </c>
      <c r="W16" s="78">
        <v>2188.88</v>
      </c>
      <c r="X16" s="78">
        <v>2283.3200000000002</v>
      </c>
      <c r="Z16" s="41"/>
    </row>
    <row r="17" spans="1:26" ht="32.450000000000003" customHeight="1" thickTop="1" thickBot="1">
      <c r="A17" s="106" t="s">
        <v>369</v>
      </c>
      <c r="B17" s="78">
        <v>2404.8250000000003</v>
      </c>
      <c r="C17" s="78">
        <v>2307.0520000000001</v>
      </c>
      <c r="D17" s="78">
        <v>2278.9789999999998</v>
      </c>
      <c r="E17" s="78">
        <v>2321.7100000000009</v>
      </c>
      <c r="F17" s="78">
        <v>3820.2190000000001</v>
      </c>
      <c r="G17" s="78">
        <v>4043.4409999999993</v>
      </c>
      <c r="H17" s="78">
        <v>4393.9389999999994</v>
      </c>
      <c r="I17" s="78">
        <v>4272.7829999999994</v>
      </c>
      <c r="J17" s="78">
        <v>4011.5972499999993</v>
      </c>
      <c r="K17" s="78">
        <v>4707.1391879999992</v>
      </c>
      <c r="L17" s="78">
        <v>4740.0910000000003</v>
      </c>
      <c r="M17" s="78">
        <v>19045.041922</v>
      </c>
      <c r="N17" s="78">
        <v>5342.0878769999999</v>
      </c>
      <c r="O17" s="78">
        <v>5435.6175670000002</v>
      </c>
      <c r="P17" s="78">
        <v>5293.8030000000008</v>
      </c>
      <c r="Q17" s="78">
        <v>22269.507000000001</v>
      </c>
      <c r="R17" s="145">
        <v>6215.91327</v>
      </c>
      <c r="S17" s="145">
        <v>6282.8258130000004</v>
      </c>
      <c r="T17" s="145">
        <v>6583.4317700000001</v>
      </c>
      <c r="U17" s="78">
        <v>26055.9637</v>
      </c>
      <c r="V17" s="78">
        <v>6372.61</v>
      </c>
      <c r="W17" s="78">
        <v>7894.11</v>
      </c>
      <c r="X17" s="78">
        <v>8172.54</v>
      </c>
      <c r="Z17" s="41"/>
    </row>
    <row r="18" spans="1:26" ht="32.450000000000003" customHeight="1" thickTop="1" thickBot="1">
      <c r="A18" s="106" t="s">
        <v>370</v>
      </c>
      <c r="B18" s="78">
        <v>2433.725907</v>
      </c>
      <c r="C18" s="78">
        <v>2364.123</v>
      </c>
      <c r="D18" s="78">
        <v>2363.692</v>
      </c>
      <c r="E18" s="78">
        <v>2258.9115900000006</v>
      </c>
      <c r="F18" s="78">
        <v>2582.3270000000002</v>
      </c>
      <c r="G18" s="78">
        <v>2230.9386549999999</v>
      </c>
      <c r="H18" s="78">
        <v>2392.5231269999999</v>
      </c>
      <c r="I18" s="78">
        <v>2661.1471230000006</v>
      </c>
      <c r="J18" s="78">
        <v>2861.9594460000003</v>
      </c>
      <c r="K18" s="78">
        <v>2502.259305</v>
      </c>
      <c r="L18" s="78">
        <v>2571.7405829999998</v>
      </c>
      <c r="M18" s="78">
        <v>10572.495177000001</v>
      </c>
      <c r="N18" s="78">
        <v>3063.6034879999997</v>
      </c>
      <c r="O18" s="78">
        <v>2988.0376060000003</v>
      </c>
      <c r="P18" s="78">
        <v>3284.4490319999995</v>
      </c>
      <c r="Q18" s="78">
        <v>19645.795770999997</v>
      </c>
      <c r="R18" s="145">
        <v>5988.8106090000001</v>
      </c>
      <c r="S18" s="145">
        <v>5437.2526619999999</v>
      </c>
      <c r="T18" s="145">
        <v>5908.8359879999998</v>
      </c>
      <c r="U18" s="78">
        <v>22907.293794000001</v>
      </c>
      <c r="V18" s="78">
        <v>6148.12</v>
      </c>
      <c r="W18" s="78">
        <v>5765.12</v>
      </c>
      <c r="X18" s="78">
        <v>12634.53</v>
      </c>
      <c r="Z18" s="41"/>
    </row>
    <row r="19" spans="1:26" ht="32.450000000000003" customHeight="1" thickTop="1" thickBot="1">
      <c r="A19" s="106" t="s">
        <v>371</v>
      </c>
      <c r="B19" s="78">
        <v>1016.8589999999999</v>
      </c>
      <c r="C19" s="78">
        <v>853.79399999999998</v>
      </c>
      <c r="D19" s="78">
        <v>772.98500000000001</v>
      </c>
      <c r="E19" s="78">
        <v>987.10600000000068</v>
      </c>
      <c r="F19" s="78">
        <v>988.01</v>
      </c>
      <c r="G19" s="78">
        <v>533.51199999999994</v>
      </c>
      <c r="H19" s="78">
        <v>742.21700000000021</v>
      </c>
      <c r="I19" s="78">
        <v>518.596</v>
      </c>
      <c r="J19" s="78">
        <v>1111.6370000000002</v>
      </c>
      <c r="K19" s="78">
        <v>938.96599999999989</v>
      </c>
      <c r="L19" s="78">
        <v>874.06199999999978</v>
      </c>
      <c r="M19" s="78">
        <v>3736.2809999999999</v>
      </c>
      <c r="N19" s="78">
        <v>1146.6130000000003</v>
      </c>
      <c r="O19" s="78">
        <v>891.89900000000011</v>
      </c>
      <c r="P19" s="78">
        <v>876.24000000000012</v>
      </c>
      <c r="Q19" s="78">
        <v>3495.3310000000001</v>
      </c>
      <c r="R19" s="145">
        <v>978.03800000000001</v>
      </c>
      <c r="S19" s="145">
        <v>889.072</v>
      </c>
      <c r="T19" s="145">
        <v>868.22500000000002</v>
      </c>
      <c r="U19" s="78">
        <v>3442.962</v>
      </c>
      <c r="V19" s="78">
        <v>1040.1300000000001</v>
      </c>
      <c r="W19" s="78">
        <v>864.5</v>
      </c>
      <c r="X19" s="78">
        <v>913.22</v>
      </c>
      <c r="Z19" s="41"/>
    </row>
    <row r="20" spans="1:26" ht="32.450000000000003" customHeight="1" thickTop="1" thickBot="1">
      <c r="A20" s="106" t="s">
        <v>372</v>
      </c>
      <c r="B20" s="78">
        <v>11517.324000000001</v>
      </c>
      <c r="C20" s="78">
        <v>11900.380999999999</v>
      </c>
      <c r="D20" s="78">
        <v>11833.621999999999</v>
      </c>
      <c r="E20" s="78">
        <v>320719.85800000001</v>
      </c>
      <c r="F20" s="78">
        <v>258051.17</v>
      </c>
      <c r="G20" s="78">
        <v>146423.69200000001</v>
      </c>
      <c r="H20" s="78">
        <v>238551.2</v>
      </c>
      <c r="I20" s="78">
        <v>254675.82399999991</v>
      </c>
      <c r="J20" s="78">
        <v>313378.55</v>
      </c>
      <c r="K20" s="78">
        <v>364629.89299999998</v>
      </c>
      <c r="L20" s="78">
        <v>420603.04199999996</v>
      </c>
      <c r="M20" s="78">
        <v>1562303.405</v>
      </c>
      <c r="N20" s="78">
        <v>535710.50600000005</v>
      </c>
      <c r="O20" s="78">
        <v>671765.16500000004</v>
      </c>
      <c r="P20" s="78">
        <v>632217.36067700002</v>
      </c>
      <c r="Q20" s="78">
        <v>2346676.9720000001</v>
      </c>
      <c r="R20" s="145">
        <v>477558.223</v>
      </c>
      <c r="S20" s="145">
        <v>465936.47600000002</v>
      </c>
      <c r="T20" s="145">
        <v>515768.32000000001</v>
      </c>
      <c r="U20" s="78">
        <v>1932422.4132910001</v>
      </c>
      <c r="V20" s="78">
        <v>453470.37</v>
      </c>
      <c r="W20" s="78">
        <v>488876.38</v>
      </c>
      <c r="X20" s="78">
        <v>482777.45</v>
      </c>
      <c r="Z20" s="41"/>
    </row>
    <row r="21" spans="1:26" ht="32.450000000000003" customHeight="1" thickTop="1" thickBot="1">
      <c r="A21" s="106" t="s">
        <v>373</v>
      </c>
      <c r="B21" s="78">
        <v>12304.989000000001</v>
      </c>
      <c r="C21" s="78">
        <v>17367.324000000001</v>
      </c>
      <c r="D21" s="78">
        <v>21738.092000000001</v>
      </c>
      <c r="E21" s="78">
        <v>17310.328999999998</v>
      </c>
      <c r="F21" s="78">
        <v>12074.5</v>
      </c>
      <c r="G21" s="78">
        <v>18222.803999999996</v>
      </c>
      <c r="H21" s="78">
        <v>21491.353999999999</v>
      </c>
      <c r="I21" s="78">
        <v>20585.578000000009</v>
      </c>
      <c r="J21" s="78">
        <v>14225</v>
      </c>
      <c r="K21" s="78">
        <v>19718.289000000001</v>
      </c>
      <c r="L21" s="78">
        <v>22653.771000000001</v>
      </c>
      <c r="M21" s="78">
        <v>77785.716</v>
      </c>
      <c r="N21" s="78">
        <v>15767.710000000001</v>
      </c>
      <c r="O21" s="78">
        <v>22014.652000000002</v>
      </c>
      <c r="P21" s="78">
        <v>25351.087</v>
      </c>
      <c r="Q21" s="78">
        <v>90117.697999999989</v>
      </c>
      <c r="R21" s="145">
        <v>17722.670999999998</v>
      </c>
      <c r="S21" s="145">
        <v>24312.803</v>
      </c>
      <c r="T21" s="145">
        <v>28150.615000000002</v>
      </c>
      <c r="U21" s="78">
        <v>91981.2</v>
      </c>
      <c r="V21" s="78">
        <v>19874.45</v>
      </c>
      <c r="W21" s="78">
        <v>26808.639999999999</v>
      </c>
      <c r="X21" s="78">
        <v>33180.080000000002</v>
      </c>
      <c r="Z21" s="41"/>
    </row>
    <row r="22" spans="1:26" ht="32.450000000000003" customHeight="1" thickTop="1" thickBot="1">
      <c r="A22" s="106" t="s">
        <v>374</v>
      </c>
      <c r="B22" s="78">
        <v>61434.034879000006</v>
      </c>
      <c r="C22" s="78">
        <v>57526.703999999998</v>
      </c>
      <c r="D22" s="78">
        <v>53962.472999999998</v>
      </c>
      <c r="E22" s="78">
        <v>52696.212162999989</v>
      </c>
      <c r="F22" s="78">
        <v>50547.257333000009</v>
      </c>
      <c r="G22" s="78">
        <v>42060.802554999987</v>
      </c>
      <c r="H22" s="78">
        <v>50736.481614000011</v>
      </c>
      <c r="I22" s="78">
        <v>55969.487445999985</v>
      </c>
      <c r="J22" s="78">
        <v>65086.999837000003</v>
      </c>
      <c r="K22" s="78">
        <v>74983.965116999985</v>
      </c>
      <c r="L22" s="78">
        <v>69961.151152999999</v>
      </c>
      <c r="M22" s="78">
        <v>286447.54878700001</v>
      </c>
      <c r="N22" s="78">
        <v>84755.936052999998</v>
      </c>
      <c r="O22" s="78">
        <v>94852.613291999995</v>
      </c>
      <c r="P22" s="78">
        <v>78575.866302000009</v>
      </c>
      <c r="Q22" s="78">
        <v>342239.46259866667</v>
      </c>
      <c r="R22" s="145">
        <v>66099.752334000004</v>
      </c>
      <c r="S22" s="145">
        <v>64435.660024999997</v>
      </c>
      <c r="T22" s="145">
        <v>60807.736346999998</v>
      </c>
      <c r="U22" s="78">
        <v>245619.425724</v>
      </c>
      <c r="V22" s="78">
        <v>58267.25</v>
      </c>
      <c r="W22" s="78">
        <v>63077.81</v>
      </c>
      <c r="X22" s="78">
        <v>66791.929999999993</v>
      </c>
      <c r="Z22" s="41"/>
    </row>
    <row r="23" spans="1:26" ht="32.450000000000003" customHeight="1" thickTop="1" thickBot="1">
      <c r="A23" s="106" t="s">
        <v>375</v>
      </c>
      <c r="B23" s="78">
        <v>1607.2739999999999</v>
      </c>
      <c r="C23" s="78">
        <v>1651.7439999999999</v>
      </c>
      <c r="D23" s="78">
        <v>1744.085</v>
      </c>
      <c r="E23" s="78">
        <v>1558.8760000000002</v>
      </c>
      <c r="F23" s="78">
        <v>1529.1309999999999</v>
      </c>
      <c r="G23" s="78">
        <v>832.52199999999993</v>
      </c>
      <c r="H23" s="78">
        <v>1294.2750000000001</v>
      </c>
      <c r="I23" s="78">
        <v>1410.0240000000003</v>
      </c>
      <c r="J23" s="78">
        <v>1397.9950000000001</v>
      </c>
      <c r="K23" s="78">
        <v>1422.4007999999999</v>
      </c>
      <c r="L23" s="78">
        <v>1446.502</v>
      </c>
      <c r="M23" s="78">
        <v>5875.93</v>
      </c>
      <c r="N23" s="78">
        <v>1591.7920000000001</v>
      </c>
      <c r="O23" s="78">
        <v>1653.7279999999998</v>
      </c>
      <c r="P23" s="78">
        <v>1858.1090000000004</v>
      </c>
      <c r="Q23" s="78">
        <v>6962.018</v>
      </c>
      <c r="R23" s="145">
        <v>1926.5239999999999</v>
      </c>
      <c r="S23" s="145">
        <v>2122.8560000000002</v>
      </c>
      <c r="T23" s="145">
        <v>2366.241</v>
      </c>
      <c r="U23" s="78">
        <v>10755.665999999999</v>
      </c>
      <c r="V23" s="78">
        <v>2801.19</v>
      </c>
      <c r="W23" s="78">
        <v>2980.09</v>
      </c>
      <c r="X23" s="78">
        <v>3057.97</v>
      </c>
      <c r="Z23" s="41"/>
    </row>
    <row r="24" spans="1:26" ht="32.450000000000003" customHeight="1" thickTop="1" thickBot="1">
      <c r="A24" s="106" t="s">
        <v>376</v>
      </c>
      <c r="B24" s="78">
        <v>10250.175999999999</v>
      </c>
      <c r="C24" s="78">
        <v>11413.300999999999</v>
      </c>
      <c r="D24" s="78">
        <v>10623.807000000001</v>
      </c>
      <c r="E24" s="78">
        <v>10805.528000000006</v>
      </c>
      <c r="F24" s="78">
        <v>11378.655999999999</v>
      </c>
      <c r="G24" s="78">
        <v>11919.044000000002</v>
      </c>
      <c r="H24" s="78">
        <v>10817.846</v>
      </c>
      <c r="I24" s="78">
        <v>9853.7779999999984</v>
      </c>
      <c r="J24" s="78">
        <v>11226.665911999999</v>
      </c>
      <c r="K24" s="78">
        <v>11518.217895000002</v>
      </c>
      <c r="L24" s="78">
        <v>12079.268499999998</v>
      </c>
      <c r="M24" s="78">
        <v>46824.285799999998</v>
      </c>
      <c r="N24" s="78">
        <v>14331.645498999998</v>
      </c>
      <c r="O24" s="78">
        <v>13998.6965</v>
      </c>
      <c r="P24" s="78">
        <v>14531.773499999999</v>
      </c>
      <c r="Q24" s="78">
        <v>56686.789560000005</v>
      </c>
      <c r="R24" s="145">
        <v>16257.048500000001</v>
      </c>
      <c r="S24" s="145">
        <v>14079.287483</v>
      </c>
      <c r="T24" s="145">
        <v>14507.059313</v>
      </c>
      <c r="U24" s="78">
        <v>58360.443348000001</v>
      </c>
      <c r="V24" s="78">
        <v>16943.36</v>
      </c>
      <c r="W24" s="78">
        <v>14032.13</v>
      </c>
      <c r="X24" s="78">
        <v>16367.87</v>
      </c>
      <c r="Z24" s="41"/>
    </row>
    <row r="25" spans="1:26" ht="32.450000000000003" customHeight="1" thickTop="1" thickBot="1">
      <c r="A25" s="106" t="s">
        <v>461</v>
      </c>
      <c r="B25" s="78">
        <v>2399.7199999999998</v>
      </c>
      <c r="C25" s="78">
        <v>2622.5</v>
      </c>
      <c r="D25" s="78">
        <v>2352.5810000000001</v>
      </c>
      <c r="E25" s="78">
        <v>2497.125</v>
      </c>
      <c r="F25" s="78">
        <v>2872.5299999999997</v>
      </c>
      <c r="G25" s="78">
        <v>3144.1860000000001</v>
      </c>
      <c r="H25" s="78">
        <v>2245.7959999999998</v>
      </c>
      <c r="I25" s="78">
        <v>3795.9262499999986</v>
      </c>
      <c r="J25" s="78">
        <v>3675.221</v>
      </c>
      <c r="K25" s="78">
        <v>3752.7019999999998</v>
      </c>
      <c r="L25" s="78">
        <v>3502.4790000000003</v>
      </c>
      <c r="M25" s="78">
        <v>17237.825999999997</v>
      </c>
      <c r="N25" s="78">
        <v>8371.8369999999995</v>
      </c>
      <c r="O25" s="78">
        <v>8267.1130000000012</v>
      </c>
      <c r="P25" s="78">
        <v>8962.3349999999991</v>
      </c>
      <c r="Q25" s="78">
        <v>34340.429000000004</v>
      </c>
      <c r="R25" s="145">
        <v>9157.1939999999995</v>
      </c>
      <c r="S25" s="145">
        <v>8906.1389999999992</v>
      </c>
      <c r="T25" s="145">
        <v>8654.5400000000009</v>
      </c>
      <c r="U25" s="78">
        <v>35468.445944999999</v>
      </c>
      <c r="V25" s="78">
        <v>8199.4699999999993</v>
      </c>
      <c r="W25" s="78">
        <v>9218.6</v>
      </c>
      <c r="X25" s="78">
        <v>9162.93</v>
      </c>
      <c r="Z25" s="41"/>
    </row>
    <row r="26" spans="1:26" ht="32.450000000000003" customHeight="1" thickTop="1" thickBot="1">
      <c r="A26" s="106" t="s">
        <v>462</v>
      </c>
      <c r="B26" s="78">
        <v>5350.4679999999989</v>
      </c>
      <c r="C26" s="78">
        <v>6013.6679999999997</v>
      </c>
      <c r="D26" s="78">
        <v>5862.9870000000001</v>
      </c>
      <c r="E26" s="78">
        <v>8210.6209999999992</v>
      </c>
      <c r="F26" s="78">
        <v>6166.14</v>
      </c>
      <c r="G26" s="78">
        <v>5626.4060000000009</v>
      </c>
      <c r="H26" s="78">
        <v>5891.7503510000006</v>
      </c>
      <c r="I26" s="78">
        <v>7284.3852629999928</v>
      </c>
      <c r="J26" s="78">
        <v>6593.4162830000005</v>
      </c>
      <c r="K26" s="78">
        <v>6759.0859609999998</v>
      </c>
      <c r="L26" s="78">
        <v>6857.4511510000002</v>
      </c>
      <c r="M26" s="78">
        <v>21535.562861999999</v>
      </c>
      <c r="N26" s="78">
        <v>7214.5662229999998</v>
      </c>
      <c r="O26" s="78">
        <v>8359.5984410000001</v>
      </c>
      <c r="P26" s="78">
        <v>8250.0840000000007</v>
      </c>
      <c r="Q26" s="78">
        <v>31695.340997999996</v>
      </c>
      <c r="R26" s="145">
        <v>8518.5883560000002</v>
      </c>
      <c r="S26" s="145">
        <v>8675.2778280000002</v>
      </c>
      <c r="T26" s="145">
        <v>8150.0318129999996</v>
      </c>
      <c r="U26" s="78">
        <v>33582.237192000001</v>
      </c>
      <c r="V26" s="78">
        <v>8604.4500000000007</v>
      </c>
      <c r="W26" s="78">
        <v>7566.58</v>
      </c>
      <c r="X26" s="78">
        <v>7520.68</v>
      </c>
      <c r="Z26" s="41"/>
    </row>
    <row r="27" spans="1:26" ht="32.450000000000003" customHeight="1" thickTop="1" thickBot="1">
      <c r="A27" s="106" t="s">
        <v>377</v>
      </c>
      <c r="B27" s="78">
        <v>23323.411999999997</v>
      </c>
      <c r="C27" s="78">
        <v>23930.937999999998</v>
      </c>
      <c r="D27" s="78">
        <v>24982.58</v>
      </c>
      <c r="E27" s="78">
        <v>25658.608000000007</v>
      </c>
      <c r="F27" s="78">
        <v>25053.502999999997</v>
      </c>
      <c r="G27" s="78">
        <v>24049.262000000002</v>
      </c>
      <c r="H27" s="78">
        <v>25638.102000000003</v>
      </c>
      <c r="I27" s="78">
        <v>26235.834000000003</v>
      </c>
      <c r="J27" s="78">
        <v>26774.563000000002</v>
      </c>
      <c r="K27" s="78">
        <v>26341.667999999998</v>
      </c>
      <c r="L27" s="78">
        <v>27100.113000000005</v>
      </c>
      <c r="M27" s="78">
        <v>104566.57499999998</v>
      </c>
      <c r="N27" s="78">
        <v>28496.625</v>
      </c>
      <c r="O27" s="78">
        <v>29563.458999999995</v>
      </c>
      <c r="P27" s="78">
        <v>30989.060999999998</v>
      </c>
      <c r="Q27" s="78">
        <v>120233.39299999998</v>
      </c>
      <c r="R27" s="145">
        <v>32552.226999999999</v>
      </c>
      <c r="S27" s="145">
        <v>32353.249</v>
      </c>
      <c r="T27" s="145">
        <v>33239.180999999997</v>
      </c>
      <c r="U27" s="78">
        <v>130950.891</v>
      </c>
      <c r="V27" s="78">
        <v>34133.64</v>
      </c>
      <c r="W27" s="78">
        <v>30805.64</v>
      </c>
      <c r="X27" s="78">
        <v>36887.449999999997</v>
      </c>
      <c r="Z27" s="41"/>
    </row>
    <row r="28" spans="1:26" ht="32.450000000000003" customHeight="1" thickTop="1" thickBot="1">
      <c r="A28" s="106" t="s">
        <v>378</v>
      </c>
      <c r="B28" s="78">
        <v>7963.4076530000002</v>
      </c>
      <c r="C28" s="78">
        <v>7392.2501730000013</v>
      </c>
      <c r="D28" s="78">
        <v>8131.9170000000004</v>
      </c>
      <c r="E28" s="78">
        <v>8714.9473419999886</v>
      </c>
      <c r="F28" s="78">
        <v>8494.5769340000006</v>
      </c>
      <c r="G28" s="78">
        <v>8158.2013010000001</v>
      </c>
      <c r="H28" s="78">
        <v>8273.1138149999988</v>
      </c>
      <c r="I28" s="78">
        <v>7844.4770079999944</v>
      </c>
      <c r="J28" s="78">
        <v>8058.8581159999994</v>
      </c>
      <c r="K28" s="78">
        <v>8430.3332660000015</v>
      </c>
      <c r="L28" s="78">
        <v>8190.7107779999997</v>
      </c>
      <c r="M28" s="78">
        <v>34675.896082000007</v>
      </c>
      <c r="N28" s="78">
        <v>9331.7653710999984</v>
      </c>
      <c r="O28" s="78">
        <v>10074.016345</v>
      </c>
      <c r="P28" s="78">
        <v>10198.508</v>
      </c>
      <c r="Q28" s="78">
        <v>41088.424499000001</v>
      </c>
      <c r="R28" s="145" t="s">
        <v>6</v>
      </c>
      <c r="S28" s="145" t="s">
        <v>6</v>
      </c>
      <c r="T28" s="145" t="s">
        <v>6</v>
      </c>
      <c r="U28" s="145" t="s">
        <v>6</v>
      </c>
      <c r="V28" s="78" t="s">
        <v>6</v>
      </c>
      <c r="W28" s="78" t="s">
        <v>6</v>
      </c>
      <c r="X28" s="78" t="s">
        <v>6</v>
      </c>
      <c r="Z28" s="41"/>
    </row>
    <row r="29" spans="1:26" ht="33" customHeight="1" thickTop="1" thickBot="1">
      <c r="A29" s="106" t="s">
        <v>379</v>
      </c>
      <c r="B29" s="89" t="s">
        <v>6</v>
      </c>
      <c r="C29" s="78">
        <v>239.006</v>
      </c>
      <c r="D29" s="78">
        <v>230.77</v>
      </c>
      <c r="E29" s="78">
        <v>307.34944599999994</v>
      </c>
      <c r="F29" s="78">
        <v>234.61723700000002</v>
      </c>
      <c r="G29" s="78">
        <v>328.45299999999997</v>
      </c>
      <c r="H29" s="78">
        <v>241.761</v>
      </c>
      <c r="I29" s="78">
        <v>243.64901300000008</v>
      </c>
      <c r="J29" s="78">
        <v>232.82</v>
      </c>
      <c r="K29" s="78">
        <v>262.40300000000002</v>
      </c>
      <c r="L29" s="78">
        <v>2230.8530000000001</v>
      </c>
      <c r="M29" s="78">
        <v>8534.2603610000024</v>
      </c>
      <c r="N29" s="78">
        <v>3638.8741890000001</v>
      </c>
      <c r="O29" s="78">
        <v>3492.9390189999995</v>
      </c>
      <c r="P29" s="92">
        <v>3641.6091080000001</v>
      </c>
      <c r="Q29" s="92">
        <v>15296.039824999998</v>
      </c>
      <c r="R29" s="145">
        <v>4716.8292940000001</v>
      </c>
      <c r="S29" s="145">
        <v>4799.8026900000004</v>
      </c>
      <c r="T29" s="145">
        <v>4954.5607</v>
      </c>
      <c r="U29" s="92">
        <v>19569.414000000001</v>
      </c>
      <c r="V29" s="92">
        <v>5009.75</v>
      </c>
      <c r="W29" s="92">
        <v>5183.8999999999996</v>
      </c>
      <c r="X29" s="92">
        <v>5178.07</v>
      </c>
      <c r="Z29" s="41"/>
    </row>
    <row r="30" spans="1:26" ht="15.75" thickTop="1"/>
    <row r="31" spans="1:26">
      <c r="A31" s="23" t="s">
        <v>92</v>
      </c>
      <c r="B31" s="115"/>
    </row>
    <row r="32" spans="1:26" ht="14.25" customHeight="1">
      <c r="A32" s="23" t="s">
        <v>59</v>
      </c>
      <c r="B32" s="124"/>
      <c r="C32" s="56"/>
      <c r="D32" s="56"/>
      <c r="G32" s="47"/>
      <c r="H32" s="47"/>
      <c r="T32" s="47"/>
      <c r="U32" s="47" t="s">
        <v>93</v>
      </c>
      <c r="V32" s="47"/>
      <c r="W32" s="47"/>
      <c r="X32" s="47"/>
    </row>
    <row r="33" spans="1:24">
      <c r="A33" s="124"/>
      <c r="B33" s="124"/>
      <c r="C33" s="56"/>
      <c r="D33" s="56"/>
      <c r="G33" s="51"/>
      <c r="H33" s="51"/>
      <c r="I33" s="51"/>
      <c r="T33" s="47"/>
      <c r="U33" s="47" t="s">
        <v>60</v>
      </c>
      <c r="V33" s="47"/>
      <c r="W33" s="47"/>
      <c r="X33" s="47"/>
    </row>
    <row r="34" spans="1:24">
      <c r="A34" s="56"/>
      <c r="B34" s="56"/>
      <c r="C34" s="56"/>
      <c r="D34" s="44"/>
    </row>
    <row r="35" spans="1:24">
      <c r="A35" s="56"/>
      <c r="B35" s="56"/>
      <c r="C35" s="56"/>
      <c r="D35" s="122"/>
    </row>
    <row r="36" spans="1:24">
      <c r="A36" s="56"/>
      <c r="B36" s="56"/>
      <c r="C36" s="56"/>
      <c r="D36" s="44"/>
    </row>
    <row r="37" spans="1:24">
      <c r="A37" s="56"/>
      <c r="B37" s="56"/>
      <c r="C37" s="56"/>
      <c r="D37" s="44"/>
    </row>
    <row r="38" spans="1:24">
      <c r="A38" s="56"/>
      <c r="B38" s="56"/>
      <c r="C38" s="56"/>
      <c r="D38" s="44"/>
    </row>
    <row r="39" spans="1:24">
      <c r="A39" s="56"/>
      <c r="B39" s="56"/>
      <c r="C39" s="56"/>
      <c r="D39" s="44"/>
    </row>
    <row r="40" spans="1:24">
      <c r="A40" s="56"/>
      <c r="B40" s="56"/>
      <c r="C40" s="56"/>
      <c r="D40" s="44"/>
    </row>
    <row r="41" spans="1:24">
      <c r="A41" s="56"/>
      <c r="B41" s="56"/>
      <c r="C41" s="56"/>
      <c r="D41" s="44"/>
    </row>
    <row r="42" spans="1:24">
      <c r="A42" s="56"/>
      <c r="B42" s="56"/>
      <c r="C42" s="56"/>
      <c r="D42" s="44"/>
    </row>
    <row r="43" spans="1:24">
      <c r="A43" s="56"/>
      <c r="B43" s="56"/>
      <c r="C43" s="56"/>
      <c r="D43" s="44"/>
    </row>
    <row r="44" spans="1:24">
      <c r="A44" s="56"/>
      <c r="B44" s="56"/>
      <c r="C44" s="56"/>
      <c r="D44" s="44"/>
    </row>
    <row r="45" spans="1:24">
      <c r="A45" s="56"/>
      <c r="B45" s="56"/>
      <c r="C45" s="56"/>
      <c r="D45" s="44"/>
    </row>
    <row r="46" spans="1:24">
      <c r="A46" s="56"/>
      <c r="B46" s="56"/>
      <c r="C46" s="56"/>
      <c r="D46" s="44"/>
    </row>
    <row r="47" spans="1:24">
      <c r="A47" s="56"/>
      <c r="B47" s="56"/>
      <c r="C47" s="56"/>
      <c r="D47" s="44"/>
    </row>
    <row r="48" spans="1:24">
      <c r="A48" s="56"/>
      <c r="B48" s="56"/>
      <c r="C48" s="56"/>
      <c r="D48" s="44"/>
    </row>
    <row r="49" spans="4:5">
      <c r="D49" s="122"/>
    </row>
    <row r="50" spans="4:5">
      <c r="D50" s="122"/>
    </row>
    <row r="51" spans="4:5">
      <c r="D51" s="122"/>
    </row>
    <row r="52" spans="4:5">
      <c r="D52" s="122"/>
      <c r="E52" s="56"/>
    </row>
    <row r="53" spans="4:5">
      <c r="D53" s="122"/>
    </row>
  </sheetData>
  <mergeCells count="1">
    <mergeCell ref="B6:H6"/>
  </mergeCells>
  <pageMargins left="0.7" right="0.7" top="0.75" bottom="0.75" header="0.3" footer="0.3"/>
  <pageSetup paperSize="9" orientation="portrait" r:id="rId1"/>
  <headerFooter>
    <oddFooter>&amp;C&amp;"Calibri"&amp;11&amp;K000000&amp;"Calibri"&amp;11&amp;K000000&amp;"Calibri"&amp;11&amp;K000000&amp;10&amp;K663300Classification: &amp;K000000 Internal  داخلي_x000D_&amp;1#&amp;"Calibri"&amp;10&amp;K000000Internal - داخلي</oddFooter>
    <evenFooter>&amp;C&amp;10&amp;K663300Classification: &amp;K000000 Internal  داخلي</evenFooter>
    <firstFooter>&amp;C&amp;10&amp;K663300Classification: &amp;K000000 Internal  داخلي</firstFooter>
  </headerFooter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6">
    <pageSetUpPr autoPageBreaks="0"/>
  </sheetPr>
  <dimension ref="A1:X66"/>
  <sheetViews>
    <sheetView showGridLines="0" showRowColHeaders="0" rightToLeft="1" topLeftCell="A25" zoomScale="70" zoomScaleNormal="70" workbookViewId="0">
      <pane xSplit="1" topLeftCell="B1" activePane="topRight" state="frozen"/>
      <selection pane="topRight" activeCell="H8" sqref="H8"/>
    </sheetView>
  </sheetViews>
  <sheetFormatPr defaultColWidth="8.42578125" defaultRowHeight="15"/>
  <cols>
    <col min="1" max="1" width="45.140625" style="26" customWidth="1"/>
    <col min="2" max="2" width="23.42578125" style="26" customWidth="1"/>
    <col min="3" max="3" width="20.42578125" style="26" customWidth="1"/>
    <col min="4" max="15" width="17.42578125" style="26" customWidth="1"/>
    <col min="16" max="17" width="18.42578125" style="26" customWidth="1"/>
    <col min="18" max="26" width="13.42578125" style="26" customWidth="1"/>
    <col min="27" max="16384" width="8.42578125" style="26"/>
  </cols>
  <sheetData>
    <row r="1" spans="1:24" ht="15" customHeight="1">
      <c r="B1" s="28"/>
      <c r="C1" s="28"/>
    </row>
    <row r="2" spans="1:24" ht="15" customHeight="1">
      <c r="A2" s="29"/>
      <c r="B2" s="29"/>
      <c r="C2" s="29"/>
    </row>
    <row r="3" spans="1:24" ht="15" customHeight="1">
      <c r="A3" s="29"/>
      <c r="B3" s="29"/>
      <c r="C3" s="29"/>
    </row>
    <row r="4" spans="1:24" ht="15" customHeight="1">
      <c r="A4" s="29"/>
      <c r="B4" s="29"/>
      <c r="C4" s="29"/>
    </row>
    <row r="5" spans="1:24" ht="15.75">
      <c r="A5" s="5"/>
      <c r="B5" s="5"/>
      <c r="C5" s="5"/>
    </row>
    <row r="6" spans="1:24" ht="55.5" customHeight="1">
      <c r="C6" s="95"/>
      <c r="D6" s="95"/>
      <c r="E6" s="95"/>
    </row>
    <row r="7" spans="1:24" ht="48" customHeight="1" thickBot="1">
      <c r="D7" s="191" t="s">
        <v>673</v>
      </c>
      <c r="E7" s="191"/>
      <c r="F7" s="191"/>
      <c r="G7" s="191"/>
      <c r="H7" s="191"/>
      <c r="I7" s="49"/>
      <c r="J7" s="49"/>
    </row>
    <row r="8" spans="1:24" ht="53.25" customHeight="1" thickBot="1">
      <c r="D8" s="52"/>
      <c r="E8" s="52"/>
      <c r="F8" s="52"/>
      <c r="G8" s="52"/>
      <c r="U8" s="71" t="s">
        <v>46</v>
      </c>
    </row>
    <row r="9" spans="1:24" ht="83.25" customHeight="1" thickBot="1">
      <c r="A9" s="108" t="s">
        <v>8</v>
      </c>
      <c r="B9" s="104" t="s">
        <v>84</v>
      </c>
      <c r="C9" s="104" t="s">
        <v>40</v>
      </c>
      <c r="D9" s="104" t="s">
        <v>48</v>
      </c>
      <c r="E9" s="104" t="s">
        <v>436</v>
      </c>
      <c r="F9" s="104" t="s">
        <v>85</v>
      </c>
      <c r="G9" s="104" t="s">
        <v>86</v>
      </c>
      <c r="H9" s="104" t="s">
        <v>87</v>
      </c>
      <c r="I9" s="104" t="s">
        <v>437</v>
      </c>
      <c r="J9" s="104" t="s">
        <v>88</v>
      </c>
      <c r="K9" s="104" t="s">
        <v>89</v>
      </c>
      <c r="L9" s="104" t="s">
        <v>90</v>
      </c>
      <c r="M9" s="104" t="s">
        <v>434</v>
      </c>
      <c r="N9" s="104" t="s">
        <v>91</v>
      </c>
      <c r="O9" s="104" t="s">
        <v>100</v>
      </c>
      <c r="P9" s="104" t="s">
        <v>390</v>
      </c>
      <c r="Q9" s="104" t="s">
        <v>435</v>
      </c>
      <c r="R9" s="104" t="s">
        <v>456</v>
      </c>
      <c r="S9" s="104" t="s">
        <v>457</v>
      </c>
      <c r="T9" s="104" t="s">
        <v>458</v>
      </c>
      <c r="U9" s="104" t="s">
        <v>594</v>
      </c>
      <c r="V9" s="104" t="s">
        <v>612</v>
      </c>
      <c r="W9" s="104" t="s">
        <v>613</v>
      </c>
      <c r="X9" s="104" t="s">
        <v>614</v>
      </c>
    </row>
    <row r="10" spans="1:24" ht="80.25" customHeight="1" thickTop="1" thickBot="1">
      <c r="A10" s="106" t="s">
        <v>365</v>
      </c>
      <c r="B10" s="78">
        <v>202.18799999999999</v>
      </c>
      <c r="C10" s="78">
        <v>417.863</v>
      </c>
      <c r="D10" s="78">
        <v>234.01499999999999</v>
      </c>
      <c r="E10" s="78">
        <v>601.27499999999998</v>
      </c>
      <c r="F10" s="78">
        <v>-284.37</v>
      </c>
      <c r="G10" s="78">
        <v>-436.13400000000007</v>
      </c>
      <c r="H10" s="78">
        <v>-394.42099999999994</v>
      </c>
      <c r="I10" s="78">
        <v>-2154.3330000000001</v>
      </c>
      <c r="J10" s="78">
        <v>-338.94599999999997</v>
      </c>
      <c r="K10" s="78">
        <v>353.15499999999997</v>
      </c>
      <c r="L10" s="78">
        <v>-320.88299999999998</v>
      </c>
      <c r="M10" s="78">
        <v>881.33100000000013</v>
      </c>
      <c r="N10" s="78">
        <v>118.07200000000003</v>
      </c>
      <c r="O10" s="78">
        <v>44.500000000000007</v>
      </c>
      <c r="P10" s="145">
        <v>436.27100000000002</v>
      </c>
      <c r="Q10" s="145">
        <v>972.21857000000023</v>
      </c>
      <c r="R10" s="145">
        <v>542.09900000000005</v>
      </c>
      <c r="S10" s="145">
        <v>671.60199999999998</v>
      </c>
      <c r="T10" s="145">
        <v>971.04300000000001</v>
      </c>
      <c r="U10" s="145">
        <v>2989.8213190000001</v>
      </c>
      <c r="V10" s="145">
        <v>388.96</v>
      </c>
      <c r="W10" s="145">
        <v>626.89</v>
      </c>
      <c r="X10" s="145">
        <v>73.88</v>
      </c>
    </row>
    <row r="11" spans="1:24" ht="80.25" customHeight="1" thickTop="1" thickBot="1">
      <c r="A11" s="106" t="s">
        <v>479</v>
      </c>
      <c r="B11" s="78">
        <v>2946.3</v>
      </c>
      <c r="C11" s="78">
        <v>3015.77</v>
      </c>
      <c r="D11" s="78">
        <v>2918.06</v>
      </c>
      <c r="E11" s="78">
        <v>11181</v>
      </c>
      <c r="F11" s="78">
        <v>3148</v>
      </c>
      <c r="G11" s="78">
        <v>2968</v>
      </c>
      <c r="H11" s="78">
        <v>3035.9690000000001</v>
      </c>
      <c r="I11" s="78">
        <v>12131.43</v>
      </c>
      <c r="J11" s="78">
        <v>3077.4490000000001</v>
      </c>
      <c r="K11" s="78">
        <v>3094.89</v>
      </c>
      <c r="L11" s="78">
        <v>3255.73</v>
      </c>
      <c r="M11" s="78">
        <v>12597</v>
      </c>
      <c r="N11" s="78">
        <v>3426.75</v>
      </c>
      <c r="O11" s="78">
        <v>3329.33</v>
      </c>
      <c r="P11" s="78">
        <v>4005.63</v>
      </c>
      <c r="Q11" s="78">
        <v>14382.71</v>
      </c>
      <c r="R11" s="145">
        <v>4144.99</v>
      </c>
      <c r="S11" s="145">
        <v>3681.6</v>
      </c>
      <c r="T11" s="145">
        <v>5760.89</v>
      </c>
      <c r="U11" s="78">
        <v>17000.414000000001</v>
      </c>
      <c r="V11" s="78">
        <v>4009.14</v>
      </c>
      <c r="W11" s="78">
        <v>4116.7299999999996</v>
      </c>
      <c r="X11" s="78">
        <v>5680.61</v>
      </c>
    </row>
    <row r="12" spans="1:24" ht="80.25" customHeight="1" thickTop="1" thickBot="1">
      <c r="A12" s="106" t="s">
        <v>380</v>
      </c>
      <c r="B12" s="78">
        <v>-13.15</v>
      </c>
      <c r="C12" s="78">
        <v>-188.54</v>
      </c>
      <c r="D12" s="78">
        <v>30.06</v>
      </c>
      <c r="E12" s="78">
        <v>-478.57</v>
      </c>
      <c r="F12" s="78">
        <v>41.83</v>
      </c>
      <c r="G12" s="78">
        <v>25.89</v>
      </c>
      <c r="H12" s="78">
        <v>62.5</v>
      </c>
      <c r="I12" s="78">
        <v>109.54096699999999</v>
      </c>
      <c r="J12" s="78">
        <v>24.46</v>
      </c>
      <c r="K12" s="78">
        <v>29.18</v>
      </c>
      <c r="L12" s="78">
        <v>6.39</v>
      </c>
      <c r="M12" s="78">
        <v>18.101488</v>
      </c>
      <c r="N12" s="78">
        <v>30.66</v>
      </c>
      <c r="O12" s="78">
        <v>-51.77</v>
      </c>
      <c r="P12" s="78">
        <v>-45.9</v>
      </c>
      <c r="Q12" s="78">
        <v>-171.2</v>
      </c>
      <c r="R12" s="145">
        <v>141.19999999999999</v>
      </c>
      <c r="S12" s="145">
        <v>108.3</v>
      </c>
      <c r="T12" s="145">
        <v>38.799999999999997</v>
      </c>
      <c r="U12" s="78">
        <v>283.32400000000001</v>
      </c>
      <c r="V12" s="78">
        <v>152.24</v>
      </c>
      <c r="W12" s="78">
        <v>162.76</v>
      </c>
      <c r="X12" s="78">
        <v>92.76</v>
      </c>
    </row>
    <row r="13" spans="1:24" ht="80.25" customHeight="1" thickTop="1" thickBot="1">
      <c r="A13" s="106" t="s">
        <v>460</v>
      </c>
      <c r="B13" s="78">
        <v>179.92980900000001</v>
      </c>
      <c r="C13" s="78">
        <v>178.748864</v>
      </c>
      <c r="D13" s="78">
        <v>66.415683000000001</v>
      </c>
      <c r="E13" s="78">
        <v>418.71700500000003</v>
      </c>
      <c r="F13" s="78">
        <v>-41.181201000000001</v>
      </c>
      <c r="G13" s="78">
        <v>-1124.8090950000001</v>
      </c>
      <c r="H13" s="78">
        <v>-190.44918000000001</v>
      </c>
      <c r="I13" s="78">
        <v>-1493.0531329999999</v>
      </c>
      <c r="J13" s="78">
        <v>105.715419</v>
      </c>
      <c r="K13" s="78">
        <v>427.60037399999999</v>
      </c>
      <c r="L13" s="78">
        <v>112.912797</v>
      </c>
      <c r="M13" s="78">
        <v>1848.72749</v>
      </c>
      <c r="N13" s="78">
        <v>6152.8249349999996</v>
      </c>
      <c r="O13" s="78">
        <v>615.45738800000004</v>
      </c>
      <c r="P13" s="78">
        <v>452.83403399999997</v>
      </c>
      <c r="Q13" s="78">
        <v>7656.1401300000007</v>
      </c>
      <c r="R13" s="145">
        <v>330.206164</v>
      </c>
      <c r="S13" s="145">
        <v>493.15209900000002</v>
      </c>
      <c r="T13" s="145">
        <v>571.52552500000002</v>
      </c>
      <c r="U13" s="78">
        <v>1710.85878</v>
      </c>
      <c r="V13" s="78">
        <v>540.54999999999995</v>
      </c>
      <c r="W13" s="78">
        <v>960.65</v>
      </c>
      <c r="X13" s="78">
        <v>615.61</v>
      </c>
    </row>
    <row r="14" spans="1:24" ht="80.25" customHeight="1" thickTop="1" thickBot="1">
      <c r="A14" s="106" t="s">
        <v>459</v>
      </c>
      <c r="B14" s="78">
        <v>81.400000000000006</v>
      </c>
      <c r="C14" s="78">
        <v>87</v>
      </c>
      <c r="D14" s="78">
        <v>60.8</v>
      </c>
      <c r="E14" s="78">
        <v>246.1</v>
      </c>
      <c r="F14" s="78">
        <v>46.7</v>
      </c>
      <c r="G14" s="78">
        <v>64.399999999999991</v>
      </c>
      <c r="H14" s="78">
        <v>66.8</v>
      </c>
      <c r="I14" s="78">
        <v>189.5</v>
      </c>
      <c r="J14" s="78">
        <v>91.5</v>
      </c>
      <c r="K14" s="78">
        <v>123.1</v>
      </c>
      <c r="L14" s="78">
        <v>196.70000000000002</v>
      </c>
      <c r="M14" s="78">
        <v>743.24700000000007</v>
      </c>
      <c r="N14" s="78">
        <v>170.29</v>
      </c>
      <c r="O14" s="78">
        <v>224.10499999999999</v>
      </c>
      <c r="P14" s="78">
        <v>312.38900000000001</v>
      </c>
      <c r="Q14" s="78">
        <v>898.29</v>
      </c>
      <c r="R14" s="145">
        <v>201.33500000000001</v>
      </c>
      <c r="S14" s="145">
        <v>248.619</v>
      </c>
      <c r="T14" s="145">
        <v>305.13400000000001</v>
      </c>
      <c r="U14" s="78">
        <v>830.44316400000002</v>
      </c>
      <c r="V14" s="78">
        <v>308.98</v>
      </c>
      <c r="W14" s="78">
        <v>245.22</v>
      </c>
      <c r="X14" s="78">
        <v>198.17</v>
      </c>
    </row>
    <row r="15" spans="1:24" ht="80.25" customHeight="1" thickTop="1" thickBot="1">
      <c r="A15" s="106" t="s">
        <v>381</v>
      </c>
      <c r="B15" s="78">
        <v>134.78495599999999</v>
      </c>
      <c r="C15" s="78">
        <v>193.70608200000001</v>
      </c>
      <c r="D15" s="78">
        <v>198.08021500000001</v>
      </c>
      <c r="E15" s="78">
        <v>711.649407</v>
      </c>
      <c r="F15" s="78">
        <v>1177.1839649999999</v>
      </c>
      <c r="G15" s="78">
        <v>-299.14063699999997</v>
      </c>
      <c r="H15" s="78">
        <v>-254.398382</v>
      </c>
      <c r="I15" s="78">
        <v>-190.40585199999998</v>
      </c>
      <c r="J15" s="78">
        <v>-177.240543</v>
      </c>
      <c r="K15" s="78">
        <v>-102.32433599999999</v>
      </c>
      <c r="L15" s="78">
        <v>48.711162999999999</v>
      </c>
      <c r="M15" s="78">
        <v>-230.80148400000007</v>
      </c>
      <c r="N15" s="78">
        <v>2.6672060000000006</v>
      </c>
      <c r="O15" s="78">
        <v>-36.915330999999988</v>
      </c>
      <c r="P15" s="78">
        <v>177.40987100000004</v>
      </c>
      <c r="Q15" s="78">
        <v>1352.556642</v>
      </c>
      <c r="R15" s="145">
        <v>355.84652799999998</v>
      </c>
      <c r="S15" s="145">
        <v>544.48879299999999</v>
      </c>
      <c r="T15" s="145">
        <v>534.50127999999995</v>
      </c>
      <c r="U15" s="78">
        <v>1623.281864</v>
      </c>
      <c r="V15" s="78">
        <v>361.6</v>
      </c>
      <c r="W15" s="78">
        <v>382.41</v>
      </c>
      <c r="X15" s="78">
        <v>519.53</v>
      </c>
    </row>
    <row r="16" spans="1:24" ht="80.25" customHeight="1" thickTop="1" thickBot="1">
      <c r="A16" s="106" t="s">
        <v>368</v>
      </c>
      <c r="B16" s="78">
        <v>80.680000000000007</v>
      </c>
      <c r="C16" s="78">
        <v>175.4</v>
      </c>
      <c r="D16" s="78">
        <v>224.81</v>
      </c>
      <c r="E16" s="78">
        <v>697.23</v>
      </c>
      <c r="F16" s="78">
        <v>57.94</v>
      </c>
      <c r="G16" s="78">
        <v>-92.907000000000011</v>
      </c>
      <c r="H16" s="78">
        <v>-56.58</v>
      </c>
      <c r="I16" s="78">
        <v>-175.34199999999998</v>
      </c>
      <c r="J16" s="78">
        <v>-11.639000000000003</v>
      </c>
      <c r="K16" s="78">
        <v>6.2049999999999983</v>
      </c>
      <c r="L16" s="78">
        <v>35.951000000000001</v>
      </c>
      <c r="M16" s="78">
        <v>103.284459</v>
      </c>
      <c r="N16" s="78">
        <v>55.012</v>
      </c>
      <c r="O16" s="78">
        <v>70.594999999999999</v>
      </c>
      <c r="P16" s="78">
        <v>126.65100000000001</v>
      </c>
      <c r="Q16" s="78">
        <v>394.77713800000004</v>
      </c>
      <c r="R16" s="145">
        <v>103.697</v>
      </c>
      <c r="S16" s="145">
        <v>102.94199999999999</v>
      </c>
      <c r="T16" s="145">
        <v>117.205</v>
      </c>
      <c r="U16" s="78">
        <v>331.22</v>
      </c>
      <c r="V16" s="78">
        <v>123.51</v>
      </c>
      <c r="W16" s="78">
        <v>108.44</v>
      </c>
      <c r="X16" s="78">
        <v>140.71</v>
      </c>
    </row>
    <row r="17" spans="1:24" ht="80.25" customHeight="1" thickTop="1" thickBot="1">
      <c r="A17" s="106" t="s">
        <v>369</v>
      </c>
      <c r="B17" s="78">
        <v>250.46899999999999</v>
      </c>
      <c r="C17" s="78">
        <v>182.61500000000001</v>
      </c>
      <c r="D17" s="78">
        <v>204.083</v>
      </c>
      <c r="E17" s="78">
        <v>871.42700000000013</v>
      </c>
      <c r="F17" s="78">
        <v>491.07600000000002</v>
      </c>
      <c r="G17" s="78">
        <v>436.37799999999999</v>
      </c>
      <c r="H17" s="78">
        <v>630.94316200000003</v>
      </c>
      <c r="I17" s="78">
        <v>2117.5061530000003</v>
      </c>
      <c r="J17" s="78">
        <v>653.51613700000007</v>
      </c>
      <c r="K17" s="78">
        <v>625.73170499999992</v>
      </c>
      <c r="L17" s="78">
        <v>641.20022100000006</v>
      </c>
      <c r="M17" s="78">
        <v>2549.6428639999999</v>
      </c>
      <c r="N17" s="78">
        <v>803.18675600000006</v>
      </c>
      <c r="O17" s="78">
        <v>745.21738500000004</v>
      </c>
      <c r="P17" s="78">
        <v>699.76138600000013</v>
      </c>
      <c r="Q17" s="78">
        <v>3077.773921</v>
      </c>
      <c r="R17" s="145">
        <v>930.23485500000004</v>
      </c>
      <c r="S17" s="145">
        <v>847.10039400000005</v>
      </c>
      <c r="T17" s="145">
        <v>997.53696500000001</v>
      </c>
      <c r="U17" s="78">
        <v>3818.1818400000002</v>
      </c>
      <c r="V17" s="78">
        <v>1082.93</v>
      </c>
      <c r="W17" s="78">
        <v>1142.73</v>
      </c>
      <c r="X17" s="78">
        <v>1215.3599999999999</v>
      </c>
    </row>
    <row r="18" spans="1:24" ht="80.25" customHeight="1" thickTop="1" thickBot="1">
      <c r="A18" s="106" t="s">
        <v>382</v>
      </c>
      <c r="B18" s="78">
        <v>-73.990348999999995</v>
      </c>
      <c r="C18" s="78">
        <v>-264.29349200000001</v>
      </c>
      <c r="D18" s="78">
        <v>20.157965999999998</v>
      </c>
      <c r="E18" s="78">
        <v>-318.69466500000004</v>
      </c>
      <c r="F18" s="78">
        <v>-77.060321000000002</v>
      </c>
      <c r="G18" s="78">
        <v>-21.799774999999997</v>
      </c>
      <c r="H18" s="78">
        <v>105.09819599999999</v>
      </c>
      <c r="I18" s="78">
        <v>-58.569966000000036</v>
      </c>
      <c r="J18" s="78">
        <v>152.19076799999996</v>
      </c>
      <c r="K18" s="78">
        <v>107.369916</v>
      </c>
      <c r="L18" s="78">
        <v>16.180545000000013</v>
      </c>
      <c r="M18" s="78">
        <v>505.46483200000011</v>
      </c>
      <c r="N18" s="78">
        <v>152.82328999999999</v>
      </c>
      <c r="O18" s="78">
        <v>323.98346899999996</v>
      </c>
      <c r="P18" s="78">
        <v>180.95865799999999</v>
      </c>
      <c r="Q18" s="78">
        <v>1269.63022</v>
      </c>
      <c r="R18" s="145">
        <v>387.22453200000001</v>
      </c>
      <c r="S18" s="145">
        <v>405.46961599999997</v>
      </c>
      <c r="T18" s="145">
        <v>89.742203000000003</v>
      </c>
      <c r="U18" s="78">
        <v>1158.9190679999999</v>
      </c>
      <c r="V18" s="78">
        <v>1051.44</v>
      </c>
      <c r="W18" s="78">
        <v>560.07000000000005</v>
      </c>
      <c r="X18" s="78">
        <v>649.1</v>
      </c>
    </row>
    <row r="19" spans="1:24" ht="80.25" customHeight="1" thickTop="1" thickBot="1">
      <c r="A19" s="106" t="s">
        <v>371</v>
      </c>
      <c r="B19" s="78">
        <v>-11.280075999999999</v>
      </c>
      <c r="C19" s="78">
        <v>-27.507218999999999</v>
      </c>
      <c r="D19" s="78">
        <v>8.5931409999999993</v>
      </c>
      <c r="E19" s="78">
        <v>-97.74975699999996</v>
      </c>
      <c r="F19" s="78">
        <v>-23.775513</v>
      </c>
      <c r="G19" s="78">
        <v>-56.797658999999996</v>
      </c>
      <c r="H19" s="78">
        <v>-20.590139999999998</v>
      </c>
      <c r="I19" s="78">
        <v>-119.55591100000001</v>
      </c>
      <c r="J19" s="78">
        <v>142.92738599999998</v>
      </c>
      <c r="K19" s="78">
        <v>55.194811000000001</v>
      </c>
      <c r="L19" s="78">
        <v>-9.6085170000000009</v>
      </c>
      <c r="M19" s="78">
        <v>73.601380000000006</v>
      </c>
      <c r="N19" s="78">
        <v>29.875522</v>
      </c>
      <c r="O19" s="78">
        <v>42.321632000000001</v>
      </c>
      <c r="P19" s="78">
        <v>-32.870719000000001</v>
      </c>
      <c r="Q19" s="78">
        <v>11.149465000000006</v>
      </c>
      <c r="R19" s="145">
        <v>28.413613999999999</v>
      </c>
      <c r="S19" s="145">
        <v>11.734953000000001</v>
      </c>
      <c r="T19" s="145">
        <v>-7.335502</v>
      </c>
      <c r="U19" s="78">
        <v>-52.201999999999998</v>
      </c>
      <c r="V19" s="78">
        <v>70.42</v>
      </c>
      <c r="W19" s="78">
        <v>7.71</v>
      </c>
      <c r="X19" s="78">
        <v>-26.74</v>
      </c>
    </row>
    <row r="20" spans="1:24" ht="80.25" customHeight="1" thickTop="1" thickBot="1">
      <c r="A20" s="106" t="s">
        <v>372</v>
      </c>
      <c r="B20" s="78">
        <v>464.95940000000002</v>
      </c>
      <c r="C20" s="78">
        <v>-234.902311</v>
      </c>
      <c r="D20" s="78">
        <v>556.501665</v>
      </c>
      <c r="E20" s="78">
        <v>331075.57069900003</v>
      </c>
      <c r="F20" s="78">
        <v>61131.415637999999</v>
      </c>
      <c r="G20" s="78">
        <v>23967.11347</v>
      </c>
      <c r="H20" s="78">
        <v>43951.026079999996</v>
      </c>
      <c r="I20" s="78">
        <v>181684.59026299999</v>
      </c>
      <c r="J20" s="78">
        <v>82172.181070999999</v>
      </c>
      <c r="K20" s="78">
        <v>96269.048187000008</v>
      </c>
      <c r="L20" s="78">
        <v>114377.21794</v>
      </c>
      <c r="M20" s="78">
        <v>414812.92223299999</v>
      </c>
      <c r="N20" s="78">
        <v>148881.641554</v>
      </c>
      <c r="O20" s="78">
        <v>183219.92731899998</v>
      </c>
      <c r="P20" s="78">
        <v>158038.57</v>
      </c>
      <c r="Q20" s="78">
        <v>604763.64006200002</v>
      </c>
      <c r="R20" s="145">
        <v>119279.61590200001</v>
      </c>
      <c r="S20" s="145">
        <v>112318.221275</v>
      </c>
      <c r="T20" s="145">
        <v>121481.34024600001</v>
      </c>
      <c r="U20" s="78">
        <v>453029.903758</v>
      </c>
      <c r="V20" s="78">
        <v>101781.58</v>
      </c>
      <c r="W20" s="78">
        <v>108945.87</v>
      </c>
      <c r="X20" s="78">
        <v>102937.33</v>
      </c>
    </row>
    <row r="21" spans="1:24" ht="80.25" customHeight="1" thickTop="1" thickBot="1">
      <c r="A21" s="106" t="s">
        <v>373</v>
      </c>
      <c r="B21" s="78">
        <v>-1403.21</v>
      </c>
      <c r="C21" s="78">
        <v>806.84</v>
      </c>
      <c r="D21" s="78">
        <v>2711.23</v>
      </c>
      <c r="E21" s="78">
        <v>1497.78</v>
      </c>
      <c r="F21" s="78">
        <v>-2407.56</v>
      </c>
      <c r="G21" s="78">
        <v>-855.74</v>
      </c>
      <c r="H21" s="78">
        <v>2208.6999999999998</v>
      </c>
      <c r="I21" s="78">
        <v>3162.9</v>
      </c>
      <c r="J21" s="78">
        <v>1801.1390000000001</v>
      </c>
      <c r="K21" s="78">
        <v>5886.2060000000001</v>
      </c>
      <c r="L21" s="78">
        <v>7439.0389999999998</v>
      </c>
      <c r="M21" s="78">
        <v>15439.933000000001</v>
      </c>
      <c r="N21" s="78">
        <v>1767.16</v>
      </c>
      <c r="O21" s="78">
        <v>5949.9939999999997</v>
      </c>
      <c r="P21" s="78">
        <v>6801.83</v>
      </c>
      <c r="Q21" s="78">
        <v>17842.225999999999</v>
      </c>
      <c r="R21" s="145">
        <v>962.18299999999999</v>
      </c>
      <c r="S21" s="145">
        <v>4680.88</v>
      </c>
      <c r="T21" s="145">
        <v>6529.2060000000001</v>
      </c>
      <c r="U21" s="78">
        <v>12804.147999999999</v>
      </c>
      <c r="V21" s="78">
        <v>1357.62</v>
      </c>
      <c r="W21" s="78">
        <v>5183.95</v>
      </c>
      <c r="X21" s="78">
        <v>7521.09</v>
      </c>
    </row>
    <row r="22" spans="1:24" ht="80.25" customHeight="1" thickTop="1" thickBot="1">
      <c r="A22" s="106" t="s">
        <v>374</v>
      </c>
      <c r="B22" s="78">
        <v>5412.5944289999998</v>
      </c>
      <c r="C22" s="78">
        <v>3785.0987420000001</v>
      </c>
      <c r="D22" s="78">
        <v>2524.4169959999999</v>
      </c>
      <c r="E22" s="78">
        <v>9566.2558129999998</v>
      </c>
      <c r="F22" s="78">
        <v>-529.11917200000005</v>
      </c>
      <c r="G22" s="78">
        <v>-2383.7629920000004</v>
      </c>
      <c r="H22" s="78">
        <v>2674.4414639999995</v>
      </c>
      <c r="I22" s="78">
        <v>4914.709312</v>
      </c>
      <c r="J22" s="78">
        <v>9636.2457289999966</v>
      </c>
      <c r="K22" s="78">
        <v>14491.618745999996</v>
      </c>
      <c r="L22" s="78">
        <v>11709.620427000003</v>
      </c>
      <c r="M22" s="78">
        <v>50249.047052000031</v>
      </c>
      <c r="N22" s="78">
        <v>14217.000947</v>
      </c>
      <c r="O22" s="78">
        <v>18242.672531999997</v>
      </c>
      <c r="P22" s="78">
        <v>7009.7458260000012</v>
      </c>
      <c r="Q22" s="78">
        <v>44748.893878000024</v>
      </c>
      <c r="R22" s="145">
        <v>2378.9910249999998</v>
      </c>
      <c r="S22" s="145">
        <v>3105.7903839999999</v>
      </c>
      <c r="T22" s="145">
        <v>-1174.225645</v>
      </c>
      <c r="U22" s="78">
        <v>4646.1577209999996</v>
      </c>
      <c r="V22" s="78">
        <v>2956.95</v>
      </c>
      <c r="W22" s="78">
        <v>5388.78</v>
      </c>
      <c r="X22" s="78">
        <v>4065.62</v>
      </c>
    </row>
    <row r="23" spans="1:24" ht="80.25" customHeight="1" thickTop="1" thickBot="1">
      <c r="A23" s="106" t="s">
        <v>375</v>
      </c>
      <c r="B23" s="78">
        <v>153.86424700000001</v>
      </c>
      <c r="C23" s="78">
        <v>180.57592500000001</v>
      </c>
      <c r="D23" s="78">
        <v>269.234217</v>
      </c>
      <c r="E23" s="78">
        <v>693.69594299999994</v>
      </c>
      <c r="F23" s="78">
        <v>-22.536384000000002</v>
      </c>
      <c r="G23" s="78">
        <v>-266.32235000000003</v>
      </c>
      <c r="H23" s="78">
        <v>-130.82698199999999</v>
      </c>
      <c r="I23" s="78">
        <v>-517.61910799999987</v>
      </c>
      <c r="J23" s="78">
        <v>38.547998000000007</v>
      </c>
      <c r="K23" s="78">
        <v>-26.953286000000009</v>
      </c>
      <c r="L23" s="78">
        <v>-12.201988999999994</v>
      </c>
      <c r="M23" s="78">
        <v>-80.98726400000001</v>
      </c>
      <c r="N23" s="78">
        <v>83.402231999999998</v>
      </c>
      <c r="O23" s="78">
        <v>28.601479999999988</v>
      </c>
      <c r="P23" s="78">
        <v>69.991993000000008</v>
      </c>
      <c r="Q23" s="78">
        <v>110.13735199999999</v>
      </c>
      <c r="R23" s="145">
        <v>123.655</v>
      </c>
      <c r="S23" s="145">
        <v>229.87799999999999</v>
      </c>
      <c r="T23" s="145">
        <v>257.97000000000003</v>
      </c>
      <c r="U23" s="78">
        <v>1348.1220000000001</v>
      </c>
      <c r="V23" s="78">
        <v>364.68</v>
      </c>
      <c r="W23" s="78">
        <v>446.76</v>
      </c>
      <c r="X23" s="78">
        <v>413.97</v>
      </c>
    </row>
    <row r="24" spans="1:24" ht="80.25" customHeight="1" thickTop="1" thickBot="1">
      <c r="A24" s="106" t="s">
        <v>376</v>
      </c>
      <c r="B24" s="78">
        <v>374.95350300000001</v>
      </c>
      <c r="C24" s="78">
        <v>677.56369099999995</v>
      </c>
      <c r="D24" s="78">
        <v>841.83083299999998</v>
      </c>
      <c r="E24" s="78">
        <v>2183.2393500000003</v>
      </c>
      <c r="F24" s="78">
        <v>670.06017299999996</v>
      </c>
      <c r="G24" s="78">
        <v>1274.6713459999999</v>
      </c>
      <c r="H24" s="78">
        <v>956.07241499999998</v>
      </c>
      <c r="I24" s="78">
        <v>3226.7028590000009</v>
      </c>
      <c r="J24" s="78">
        <v>622.16099000000008</v>
      </c>
      <c r="K24" s="78">
        <v>704.98042099999986</v>
      </c>
      <c r="L24" s="78">
        <v>578.42564200000004</v>
      </c>
      <c r="M24" s="78">
        <v>1514.0208110000001</v>
      </c>
      <c r="N24" s="78">
        <v>788.77266699999996</v>
      </c>
      <c r="O24" s="78">
        <v>856.63257299999998</v>
      </c>
      <c r="P24" s="78">
        <v>764.87210900000014</v>
      </c>
      <c r="Q24" s="78">
        <v>3087.9181749999998</v>
      </c>
      <c r="R24" s="145">
        <v>1171.2599049999999</v>
      </c>
      <c r="S24" s="145">
        <v>853.99453400000004</v>
      </c>
      <c r="T24" s="145">
        <v>950.06032000000005</v>
      </c>
      <c r="U24" s="78">
        <v>3848.0385889999998</v>
      </c>
      <c r="V24" s="78">
        <v>1405.34</v>
      </c>
      <c r="W24" s="78">
        <v>1116.1600000000001</v>
      </c>
      <c r="X24" s="78">
        <v>1123.6400000000001</v>
      </c>
    </row>
    <row r="25" spans="1:24" ht="80.25" customHeight="1" thickTop="1" thickBot="1">
      <c r="A25" s="106" t="s">
        <v>461</v>
      </c>
      <c r="B25" s="78">
        <v>61.512</v>
      </c>
      <c r="C25" s="78">
        <v>58.64</v>
      </c>
      <c r="D25" s="78">
        <v>77.141999999999996</v>
      </c>
      <c r="E25" s="78">
        <v>257.173</v>
      </c>
      <c r="F25" s="78">
        <v>107.169</v>
      </c>
      <c r="G25" s="78">
        <v>144.786</v>
      </c>
      <c r="H25" s="78">
        <v>66.957999999999998</v>
      </c>
      <c r="I25" s="78">
        <v>931.46499999999992</v>
      </c>
      <c r="J25" s="78">
        <v>121.339</v>
      </c>
      <c r="K25" s="78">
        <v>144.934889</v>
      </c>
      <c r="L25" s="78">
        <v>115.773219</v>
      </c>
      <c r="M25" s="78">
        <v>710.82572600000003</v>
      </c>
      <c r="N25" s="78">
        <v>588.00350500000002</v>
      </c>
      <c r="O25" s="78">
        <v>565.61792100000002</v>
      </c>
      <c r="P25" s="78">
        <v>1063.8251330000001</v>
      </c>
      <c r="Q25" s="78">
        <v>2674.3472120000001</v>
      </c>
      <c r="R25" s="145">
        <v>583.67661399999997</v>
      </c>
      <c r="S25" s="145">
        <v>624.03892099999996</v>
      </c>
      <c r="T25" s="145">
        <v>446.717578</v>
      </c>
      <c r="U25" s="78">
        <v>2301.286458</v>
      </c>
      <c r="V25" s="78">
        <v>628.34</v>
      </c>
      <c r="W25" s="78">
        <v>527.19000000000005</v>
      </c>
      <c r="X25" s="78">
        <v>402.88</v>
      </c>
    </row>
    <row r="26" spans="1:24" ht="80.25" customHeight="1" thickTop="1" thickBot="1">
      <c r="A26" s="106" t="s">
        <v>462</v>
      </c>
      <c r="B26" s="78">
        <v>294.76400000000001</v>
      </c>
      <c r="C26" s="78">
        <v>482.47199999999998</v>
      </c>
      <c r="D26" s="78">
        <v>331.774</v>
      </c>
      <c r="E26" s="78">
        <v>1452.5204290000001</v>
      </c>
      <c r="F26" s="78">
        <v>-598.92836499999999</v>
      </c>
      <c r="G26" s="78">
        <v>-186.83323899999999</v>
      </c>
      <c r="H26" s="78">
        <v>254.44203899999997</v>
      </c>
      <c r="I26" s="78">
        <v>-196.05035500000008</v>
      </c>
      <c r="J26" s="78">
        <v>43.196092000000135</v>
      </c>
      <c r="K26" s="78">
        <v>379.502681</v>
      </c>
      <c r="L26" s="78">
        <v>401.75798700000001</v>
      </c>
      <c r="M26" s="78">
        <v>1460.586718</v>
      </c>
      <c r="N26" s="78">
        <v>337.36551200000002</v>
      </c>
      <c r="O26" s="78">
        <v>391.92355399999997</v>
      </c>
      <c r="P26" s="78">
        <v>394.19700499999999</v>
      </c>
      <c r="Q26" s="78">
        <v>1693.5066863333334</v>
      </c>
      <c r="R26" s="145">
        <v>352.99890699999997</v>
      </c>
      <c r="S26" s="145">
        <v>406.390151</v>
      </c>
      <c r="T26" s="145">
        <v>244.66426799999999</v>
      </c>
      <c r="U26" s="78">
        <v>433.99964899999998</v>
      </c>
      <c r="V26" s="78">
        <v>209.31</v>
      </c>
      <c r="W26" s="78">
        <v>372.36</v>
      </c>
      <c r="X26" s="78">
        <v>510.36</v>
      </c>
    </row>
    <row r="27" spans="1:24" ht="80.25" customHeight="1" thickTop="1" thickBot="1">
      <c r="A27" s="106" t="s">
        <v>377</v>
      </c>
      <c r="B27" s="78">
        <v>14102.999</v>
      </c>
      <c r="C27" s="78">
        <v>10092.787</v>
      </c>
      <c r="D27" s="78">
        <v>12495.898999999999</v>
      </c>
      <c r="E27" s="78">
        <v>45112.135999999999</v>
      </c>
      <c r="F27" s="78">
        <v>11284.1</v>
      </c>
      <c r="G27" s="78">
        <v>1916.2000000000003</v>
      </c>
      <c r="H27" s="78">
        <v>11911.397000000001</v>
      </c>
      <c r="I27" s="78">
        <v>34832.150999999998</v>
      </c>
      <c r="J27" s="78">
        <v>11548.079000000002</v>
      </c>
      <c r="K27" s="78">
        <v>11089.618</v>
      </c>
      <c r="L27" s="78">
        <v>13276.099</v>
      </c>
      <c r="M27" s="78">
        <v>48839.053</v>
      </c>
      <c r="N27" s="78">
        <v>14755.081040000001</v>
      </c>
      <c r="O27" s="78">
        <v>15159.158991</v>
      </c>
      <c r="P27" s="78">
        <v>16541.736162000001</v>
      </c>
      <c r="Q27" s="78">
        <v>62758.423624999996</v>
      </c>
      <c r="R27" s="145">
        <v>17238.292000000001</v>
      </c>
      <c r="S27" s="145">
        <v>17272.719000000001</v>
      </c>
      <c r="T27" s="145">
        <v>18083.069</v>
      </c>
      <c r="U27" s="78">
        <v>69962.31</v>
      </c>
      <c r="V27" s="78">
        <v>18647.32</v>
      </c>
      <c r="W27" s="78">
        <v>19536.099999999999</v>
      </c>
      <c r="X27" s="78">
        <v>20521.79</v>
      </c>
    </row>
    <row r="28" spans="1:24" ht="80.25" customHeight="1" thickTop="1" thickBot="1">
      <c r="A28" s="106" t="s">
        <v>378</v>
      </c>
      <c r="B28" s="78">
        <v>207.38981699999999</v>
      </c>
      <c r="C28" s="78">
        <v>276.546964</v>
      </c>
      <c r="D28" s="78">
        <v>398.69927000000001</v>
      </c>
      <c r="E28" s="78">
        <v>1352.4844880000003</v>
      </c>
      <c r="F28" s="78">
        <v>180.52868900000001</v>
      </c>
      <c r="G28" s="78">
        <v>1078.1189609999997</v>
      </c>
      <c r="H28" s="78">
        <v>417.72314599999999</v>
      </c>
      <c r="I28" s="78">
        <v>1975.9315099999999</v>
      </c>
      <c r="J28" s="78">
        <v>196.2287390000001</v>
      </c>
      <c r="K28" s="78">
        <v>509.27161000000018</v>
      </c>
      <c r="L28" s="78">
        <v>143.85774400000003</v>
      </c>
      <c r="M28" s="78">
        <v>581.17571999999984</v>
      </c>
      <c r="N28" s="78">
        <v>-31.658129999999943</v>
      </c>
      <c r="O28" s="78">
        <v>351.08651899999995</v>
      </c>
      <c r="P28" s="78">
        <v>567.92609599999992</v>
      </c>
      <c r="Q28" s="78">
        <v>1058.2629269999998</v>
      </c>
      <c r="R28" s="78" t="s">
        <v>6</v>
      </c>
      <c r="S28" s="78" t="s">
        <v>6</v>
      </c>
      <c r="T28" s="78" t="s">
        <v>6</v>
      </c>
      <c r="U28" s="78" t="s">
        <v>6</v>
      </c>
      <c r="V28" s="78" t="s">
        <v>6</v>
      </c>
      <c r="W28" s="78" t="s">
        <v>6</v>
      </c>
      <c r="X28" s="78" t="s">
        <v>6</v>
      </c>
    </row>
    <row r="29" spans="1:24" ht="80.25" customHeight="1" thickTop="1" thickBot="1">
      <c r="A29" s="106" t="s">
        <v>379</v>
      </c>
      <c r="B29" s="89">
        <v>11.72</v>
      </c>
      <c r="C29" s="78">
        <v>13.04</v>
      </c>
      <c r="D29" s="78">
        <v>14.39</v>
      </c>
      <c r="E29" s="78">
        <v>75.97</v>
      </c>
      <c r="F29" s="78">
        <v>15.204307999999999</v>
      </c>
      <c r="G29" s="78">
        <v>22.553697</v>
      </c>
      <c r="H29" s="78">
        <v>18.062846999999998</v>
      </c>
      <c r="I29" s="78">
        <v>74.497485000000012</v>
      </c>
      <c r="J29" s="78">
        <v>15.686857</v>
      </c>
      <c r="K29" s="78">
        <v>19.807243</v>
      </c>
      <c r="L29" s="78">
        <v>277.22997500000002</v>
      </c>
      <c r="M29" s="78">
        <v>911.02952400000004</v>
      </c>
      <c r="N29" s="78">
        <v>534.02307399999995</v>
      </c>
      <c r="O29" s="78">
        <v>482.96180500000003</v>
      </c>
      <c r="P29" s="92">
        <v>596.02960099999996</v>
      </c>
      <c r="Q29" s="92">
        <v>2200.8762109999998</v>
      </c>
      <c r="R29" s="145">
        <v>693.87616700000001</v>
      </c>
      <c r="S29" s="145">
        <v>786.44448299999999</v>
      </c>
      <c r="T29" s="145">
        <v>679.39995899999997</v>
      </c>
      <c r="U29" s="92">
        <v>2681.84</v>
      </c>
      <c r="V29" s="92">
        <v>793.7</v>
      </c>
      <c r="W29" s="92">
        <v>1032.79</v>
      </c>
      <c r="X29" s="92">
        <v>1010.34</v>
      </c>
    </row>
    <row r="30" spans="1:24" ht="15.75" thickTop="1"/>
    <row r="31" spans="1:24">
      <c r="A31" s="23" t="s">
        <v>26</v>
      </c>
      <c r="B31" s="23"/>
      <c r="C31" s="47"/>
      <c r="D31" s="47"/>
      <c r="E31" s="47"/>
      <c r="F31" s="47"/>
      <c r="G31" s="47"/>
      <c r="H31" s="47"/>
      <c r="I31" s="47"/>
      <c r="U31" s="47" t="s">
        <v>25</v>
      </c>
    </row>
    <row r="32" spans="1:24">
      <c r="A32" s="23" t="s">
        <v>59</v>
      </c>
      <c r="B32" s="23"/>
      <c r="C32" s="47"/>
      <c r="D32" s="47"/>
      <c r="E32" s="47"/>
      <c r="F32" s="47"/>
      <c r="G32" s="47"/>
      <c r="H32" s="47"/>
      <c r="J32" s="47"/>
      <c r="K32" s="47"/>
      <c r="U32" s="47" t="s">
        <v>60</v>
      </c>
    </row>
    <row r="33" spans="1:11">
      <c r="A33" s="47"/>
      <c r="B33" s="47"/>
      <c r="C33" s="47"/>
      <c r="D33" s="47"/>
      <c r="E33" s="47"/>
      <c r="F33" s="47"/>
      <c r="G33" s="47"/>
      <c r="H33" s="47"/>
      <c r="I33" s="51"/>
      <c r="J33" s="51"/>
      <c r="K33" s="51"/>
    </row>
    <row r="38" spans="1:11">
      <c r="G38" s="40"/>
    </row>
    <row r="65" spans="4:6">
      <c r="D65" s="23"/>
      <c r="E65" s="23"/>
      <c r="F65" s="47"/>
    </row>
    <row r="66" spans="4:6">
      <c r="D66" s="23"/>
      <c r="E66" s="23"/>
      <c r="F66" s="47"/>
    </row>
  </sheetData>
  <mergeCells count="1">
    <mergeCell ref="D7:H7"/>
  </mergeCells>
  <hyperlinks>
    <hyperlink ref="C5" location="Main!G8" display="العودة للصفحة الرئيسية" xr:uid="{00000000-0004-0000-1200-000000000000}"/>
  </hyperlinks>
  <pageMargins left="0.7" right="0.7" top="0.75" bottom="0.75" header="0.3" footer="0.3"/>
  <pageSetup paperSize="9" orientation="portrait" r:id="rId1"/>
  <headerFooter>
    <oddFooter>&amp;C&amp;"Calibri"&amp;11&amp;K000000&amp;"Calibri"&amp;11&amp;K000000&amp;"Calibri"&amp;11&amp;K000000&amp;10&amp;K663300Classification: &amp;K000000 Internal  داخلي_x000D_&amp;1#&amp;"Calibri"&amp;10&amp;K000000Internal - داخلي</oddFooter>
    <evenFooter>&amp;C&amp;10&amp;K663300Classification: &amp;K000000 Internal  داخلي</evenFooter>
    <firstFooter>&amp;C&amp;10&amp;K663300Classification: &amp;K000000 Internal  داخلي</firstFooter>
  </headerFooter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7">
    <pageSetUpPr autoPageBreaks="0"/>
  </sheetPr>
  <dimension ref="A1:X65"/>
  <sheetViews>
    <sheetView showGridLines="0" showRowColHeaders="0" rightToLeft="1" topLeftCell="A10" zoomScale="85" zoomScaleNormal="85" workbookViewId="0">
      <pane xSplit="1" topLeftCell="C1" activePane="topRight" state="frozen"/>
      <selection pane="topRight" activeCell="E8" sqref="E8"/>
    </sheetView>
  </sheetViews>
  <sheetFormatPr defaultColWidth="8.42578125" defaultRowHeight="15"/>
  <cols>
    <col min="1" max="1" width="50.140625" style="26" bestFit="1" customWidth="1"/>
    <col min="2" max="2" width="14.85546875" style="26" customWidth="1"/>
    <col min="3" max="3" width="15" style="26" customWidth="1"/>
    <col min="4" max="4" width="15.42578125" style="26" customWidth="1"/>
    <col min="5" max="5" width="14.140625" style="26" customWidth="1"/>
    <col min="6" max="6" width="13.85546875" style="26" customWidth="1"/>
    <col min="7" max="7" width="14.42578125" style="26" customWidth="1"/>
    <col min="8" max="8" width="15.42578125" style="26" customWidth="1"/>
    <col min="9" max="9" width="14.85546875" style="26" customWidth="1"/>
    <col min="10" max="10" width="16.42578125" style="26" customWidth="1"/>
    <col min="11" max="11" width="16.140625" style="26" customWidth="1"/>
    <col min="12" max="13" width="17.42578125" style="26" customWidth="1"/>
    <col min="14" max="14" width="16" style="26" customWidth="1"/>
    <col min="15" max="15" width="17.42578125" style="26" customWidth="1"/>
    <col min="16" max="17" width="17.85546875" style="26" customWidth="1"/>
    <col min="18" max="19" width="14.140625" style="26" customWidth="1"/>
    <col min="20" max="21" width="14.42578125" style="26" customWidth="1"/>
    <col min="22" max="23" width="14.42578125" style="26" bestFit="1" customWidth="1"/>
    <col min="24" max="24" width="14.5703125" style="26" bestFit="1" customWidth="1"/>
    <col min="25" max="16384" width="8.42578125" style="26"/>
  </cols>
  <sheetData>
    <row r="1" spans="1:24" ht="15" customHeight="1">
      <c r="B1" s="28"/>
      <c r="C1" s="28"/>
    </row>
    <row r="2" spans="1:24" ht="15" customHeight="1">
      <c r="A2" s="29"/>
      <c r="B2" s="29"/>
      <c r="C2" s="29"/>
    </row>
    <row r="3" spans="1:24" ht="15" customHeight="1">
      <c r="A3" s="29"/>
      <c r="B3" s="29"/>
      <c r="C3" s="29"/>
    </row>
    <row r="4" spans="1:24" ht="15" customHeight="1">
      <c r="A4" s="29"/>
      <c r="B4" s="29"/>
      <c r="C4" s="29"/>
    </row>
    <row r="5" spans="1:24" ht="15.75">
      <c r="A5" s="5"/>
      <c r="B5" s="5"/>
      <c r="C5" s="5"/>
    </row>
    <row r="6" spans="1:24" ht="55.5" customHeight="1">
      <c r="C6" s="95"/>
      <c r="D6" s="95"/>
      <c r="E6" s="95"/>
      <c r="F6" s="100"/>
    </row>
    <row r="7" spans="1:24" ht="52.5" customHeight="1">
      <c r="E7" s="193" t="s">
        <v>674</v>
      </c>
      <c r="F7" s="193"/>
      <c r="G7" s="193"/>
      <c r="H7" s="193"/>
      <c r="I7" s="193"/>
      <c r="J7" s="193"/>
      <c r="K7" s="193"/>
      <c r="L7" s="193"/>
    </row>
    <row r="8" spans="1:24" ht="36" customHeight="1" thickBot="1">
      <c r="D8" s="52"/>
      <c r="E8" s="52"/>
      <c r="F8" s="52"/>
      <c r="G8" s="52"/>
      <c r="U8" s="71" t="s">
        <v>46</v>
      </c>
    </row>
    <row r="9" spans="1:24" ht="60.75" thickBot="1">
      <c r="A9" s="108" t="s">
        <v>8</v>
      </c>
      <c r="B9" s="104" t="s">
        <v>84</v>
      </c>
      <c r="C9" s="104" t="s">
        <v>40</v>
      </c>
      <c r="D9" s="104" t="s">
        <v>48</v>
      </c>
      <c r="E9" s="104" t="s">
        <v>436</v>
      </c>
      <c r="F9" s="104" t="s">
        <v>85</v>
      </c>
      <c r="G9" s="104" t="s">
        <v>86</v>
      </c>
      <c r="H9" s="104" t="s">
        <v>87</v>
      </c>
      <c r="I9" s="104" t="s">
        <v>437</v>
      </c>
      <c r="J9" s="104" t="s">
        <v>88</v>
      </c>
      <c r="K9" s="104" t="s">
        <v>89</v>
      </c>
      <c r="L9" s="104" t="s">
        <v>90</v>
      </c>
      <c r="M9" s="104" t="s">
        <v>434</v>
      </c>
      <c r="N9" s="104" t="s">
        <v>91</v>
      </c>
      <c r="O9" s="104" t="s">
        <v>100</v>
      </c>
      <c r="P9" s="104" t="s">
        <v>390</v>
      </c>
      <c r="Q9" s="104" t="s">
        <v>435</v>
      </c>
      <c r="R9" s="104" t="s">
        <v>456</v>
      </c>
      <c r="S9" s="104" t="s">
        <v>457</v>
      </c>
      <c r="T9" s="104" t="s">
        <v>458</v>
      </c>
      <c r="U9" s="104" t="s">
        <v>594</v>
      </c>
      <c r="V9" s="104" t="s">
        <v>612</v>
      </c>
      <c r="W9" s="104" t="s">
        <v>613</v>
      </c>
      <c r="X9" s="104" t="s">
        <v>614</v>
      </c>
    </row>
    <row r="10" spans="1:24" ht="29.25" customHeight="1" thickTop="1" thickBot="1">
      <c r="A10" s="106" t="s">
        <v>365</v>
      </c>
      <c r="B10" s="78">
        <v>55303.562000000005</v>
      </c>
      <c r="C10" s="78">
        <v>56430.009924000005</v>
      </c>
      <c r="D10" s="78">
        <v>60599.883000000002</v>
      </c>
      <c r="E10" s="78">
        <v>59507.82699999999</v>
      </c>
      <c r="F10" s="78">
        <v>58233.078599999993</v>
      </c>
      <c r="G10" s="78">
        <v>51509.257999999994</v>
      </c>
      <c r="H10" s="78">
        <v>57598.502999999997</v>
      </c>
      <c r="I10" s="78">
        <v>55569.921000000002</v>
      </c>
      <c r="J10" s="78">
        <v>55308.659512999991</v>
      </c>
      <c r="K10" s="78">
        <v>56021.6538</v>
      </c>
      <c r="L10" s="78">
        <v>58435.905000000006</v>
      </c>
      <c r="M10" s="78">
        <v>59198.110100000005</v>
      </c>
      <c r="N10" s="78">
        <v>59302.281709999996</v>
      </c>
      <c r="O10" s="78">
        <v>61050.311710000002</v>
      </c>
      <c r="P10" s="145">
        <v>65902.358399999997</v>
      </c>
      <c r="Q10" s="145">
        <v>58798.261382999997</v>
      </c>
      <c r="R10" s="145">
        <v>72683.410355999993</v>
      </c>
      <c r="S10" s="145">
        <v>73218.475936999996</v>
      </c>
      <c r="T10" s="145">
        <v>73169.919789000007</v>
      </c>
      <c r="U10" s="145">
        <v>77106.632138999994</v>
      </c>
      <c r="V10" s="145">
        <v>76361.539999999994</v>
      </c>
      <c r="W10" s="145">
        <v>76810.490000000005</v>
      </c>
      <c r="X10" s="145">
        <v>77242.429999999993</v>
      </c>
    </row>
    <row r="11" spans="1:24" ht="29.25" customHeight="1" thickTop="1" thickBot="1">
      <c r="A11" s="106" t="s">
        <v>479</v>
      </c>
      <c r="B11" s="78">
        <v>87360.802000000011</v>
      </c>
      <c r="C11" s="78">
        <v>81378.146583000009</v>
      </c>
      <c r="D11" s="78">
        <v>80278.782000000007</v>
      </c>
      <c r="E11" s="78">
        <v>80909.246999999988</v>
      </c>
      <c r="F11" s="78">
        <v>82166.947999999989</v>
      </c>
      <c r="G11" s="78">
        <v>82485.953999999998</v>
      </c>
      <c r="H11" s="78">
        <v>83579.254000000001</v>
      </c>
      <c r="I11" s="78">
        <v>88694.614999999991</v>
      </c>
      <c r="J11" s="78">
        <v>89845.263000000006</v>
      </c>
      <c r="K11" s="78">
        <v>88639.807000000001</v>
      </c>
      <c r="L11" s="78">
        <v>94310.569000000003</v>
      </c>
      <c r="M11" s="78">
        <v>95704.325000000012</v>
      </c>
      <c r="N11" s="78">
        <v>97300.902000000002</v>
      </c>
      <c r="O11" s="78">
        <v>98559.756999999998</v>
      </c>
      <c r="P11" s="78">
        <v>101372.103</v>
      </c>
      <c r="Q11" s="78">
        <v>102270.95199999999</v>
      </c>
      <c r="R11" s="145">
        <v>104267.48699999999</v>
      </c>
      <c r="S11" s="145">
        <v>106312.34699999999</v>
      </c>
      <c r="T11" s="145">
        <v>106312.34699999999</v>
      </c>
      <c r="U11" s="78">
        <v>107757.88499999999</v>
      </c>
      <c r="V11" s="78">
        <v>109918.69</v>
      </c>
      <c r="W11" s="78">
        <v>105085.97</v>
      </c>
      <c r="X11" s="78">
        <v>108275.04</v>
      </c>
    </row>
    <row r="12" spans="1:24" ht="29.25" customHeight="1" thickTop="1" thickBot="1">
      <c r="A12" s="106" t="s">
        <v>380</v>
      </c>
      <c r="B12" s="78">
        <v>2909.712</v>
      </c>
      <c r="C12" s="78">
        <v>2585.239</v>
      </c>
      <c r="D12" s="78">
        <v>2428.4740000000002</v>
      </c>
      <c r="E12" s="78">
        <v>2119.672</v>
      </c>
      <c r="F12" s="78">
        <v>1884.5329999999999</v>
      </c>
      <c r="G12" s="78">
        <v>1946.92</v>
      </c>
      <c r="H12" s="78">
        <v>2043.231</v>
      </c>
      <c r="I12" s="78">
        <v>2070.9629999999997</v>
      </c>
      <c r="J12" s="78">
        <v>2108.3229999999999</v>
      </c>
      <c r="K12" s="78">
        <v>2017.1460000000002</v>
      </c>
      <c r="L12" s="78">
        <v>2014.8429999999998</v>
      </c>
      <c r="M12" s="78">
        <v>1993.405</v>
      </c>
      <c r="N12" s="78">
        <v>2016.52</v>
      </c>
      <c r="O12" s="78">
        <v>1892.31</v>
      </c>
      <c r="P12" s="78">
        <v>1846.2920000000001</v>
      </c>
      <c r="Q12" s="78">
        <v>1693.1030000000001</v>
      </c>
      <c r="R12" s="145">
        <v>3019.6909999999998</v>
      </c>
      <c r="S12" s="145">
        <v>2910.7440000000001</v>
      </c>
      <c r="T12" s="145">
        <v>2910.7440000000001</v>
      </c>
      <c r="U12" s="78">
        <v>2910.9780000000001</v>
      </c>
      <c r="V12" s="78">
        <v>3324.01</v>
      </c>
      <c r="W12" s="78">
        <v>3282.47</v>
      </c>
      <c r="X12" s="78">
        <v>3243.29</v>
      </c>
    </row>
    <row r="13" spans="1:24" ht="29.25" customHeight="1" thickTop="1" thickBot="1">
      <c r="A13" s="106" t="s">
        <v>460</v>
      </c>
      <c r="B13" s="78">
        <v>32247.162</v>
      </c>
      <c r="C13" s="78">
        <v>33219.404000000002</v>
      </c>
      <c r="D13" s="78">
        <v>34859.85</v>
      </c>
      <c r="E13" s="78">
        <v>36144.125</v>
      </c>
      <c r="F13" s="78">
        <v>29064.152000000002</v>
      </c>
      <c r="G13" s="78">
        <v>30195.819</v>
      </c>
      <c r="H13" s="78">
        <v>30123.118999999999</v>
      </c>
      <c r="I13" s="78">
        <v>35147.272000000004</v>
      </c>
      <c r="J13" s="78">
        <v>35214.010999999999</v>
      </c>
      <c r="K13" s="78">
        <v>37196.363000000005</v>
      </c>
      <c r="L13" s="78">
        <v>36991.059000000001</v>
      </c>
      <c r="M13" s="78">
        <v>39600.743999999999</v>
      </c>
      <c r="N13" s="78">
        <v>43643.759000000005</v>
      </c>
      <c r="O13" s="78">
        <v>41104.231</v>
      </c>
      <c r="P13" s="78">
        <v>38812.872000000003</v>
      </c>
      <c r="Q13" s="78">
        <v>39405.518000000004</v>
      </c>
      <c r="R13" s="145">
        <v>42461.282371000001</v>
      </c>
      <c r="S13" s="145">
        <v>40285.322698000004</v>
      </c>
      <c r="T13" s="145">
        <v>40296.245913999999</v>
      </c>
      <c r="U13" s="78">
        <v>44595.686919</v>
      </c>
      <c r="V13" s="78">
        <v>46824.53</v>
      </c>
      <c r="W13" s="78">
        <v>45783.22</v>
      </c>
      <c r="X13" s="78">
        <v>47532.24</v>
      </c>
    </row>
    <row r="14" spans="1:24" ht="29.25" customHeight="1" thickTop="1" thickBot="1">
      <c r="A14" s="106" t="s">
        <v>459</v>
      </c>
      <c r="B14" s="78">
        <v>1340.259</v>
      </c>
      <c r="C14" s="78">
        <v>1478.0550000000001</v>
      </c>
      <c r="D14" s="78">
        <v>1469.3810000000001</v>
      </c>
      <c r="E14" s="78">
        <v>1487.1179999999999</v>
      </c>
      <c r="F14" s="78">
        <v>1592.9079999999999</v>
      </c>
      <c r="G14" s="78">
        <v>1585.585</v>
      </c>
      <c r="H14" s="78">
        <v>1842.806</v>
      </c>
      <c r="I14" s="78">
        <v>1872.4270000000001</v>
      </c>
      <c r="J14" s="78">
        <v>1646.9690000000001</v>
      </c>
      <c r="K14" s="78">
        <v>2036.0440000000001</v>
      </c>
      <c r="L14" s="78">
        <v>2221.15</v>
      </c>
      <c r="M14" s="78">
        <v>3049.0680000000002</v>
      </c>
      <c r="N14" s="78">
        <v>3207.0459999999998</v>
      </c>
      <c r="O14" s="78">
        <v>3309.4450000000002</v>
      </c>
      <c r="P14" s="78">
        <v>3796.05</v>
      </c>
      <c r="Q14" s="78">
        <v>3678.8789999999999</v>
      </c>
      <c r="R14" s="145">
        <v>4209.32</v>
      </c>
      <c r="S14" s="145">
        <v>4457.1379999999999</v>
      </c>
      <c r="T14" s="145">
        <v>4457.1379999999999</v>
      </c>
      <c r="U14" s="78">
        <v>4551.4456680000003</v>
      </c>
      <c r="V14" s="78">
        <v>8421.94</v>
      </c>
      <c r="W14" s="78">
        <v>8609.8700000000008</v>
      </c>
      <c r="X14" s="78">
        <v>8834.65</v>
      </c>
    </row>
    <row r="15" spans="1:24" ht="29.25" customHeight="1" thickTop="1" thickBot="1">
      <c r="A15" s="106" t="s">
        <v>381</v>
      </c>
      <c r="B15" s="78">
        <v>10879.834999999999</v>
      </c>
      <c r="C15" s="78">
        <v>10246.284931</v>
      </c>
      <c r="D15" s="78">
        <v>11711.612999999999</v>
      </c>
      <c r="E15" s="78">
        <v>11743.819100000001</v>
      </c>
      <c r="F15" s="78">
        <v>13212.785043000002</v>
      </c>
      <c r="G15" s="78">
        <v>12785.863507</v>
      </c>
      <c r="H15" s="78">
        <v>12625.174758000001</v>
      </c>
      <c r="I15" s="78">
        <v>11680.561994</v>
      </c>
      <c r="J15" s="78">
        <v>11460.738697999999</v>
      </c>
      <c r="K15" s="78">
        <v>11323.625689999999</v>
      </c>
      <c r="L15" s="78">
        <v>11070.613456999998</v>
      </c>
      <c r="M15" s="78">
        <v>11982.815986</v>
      </c>
      <c r="N15" s="78">
        <v>11905.500687</v>
      </c>
      <c r="O15" s="78">
        <v>11739.486556999998</v>
      </c>
      <c r="P15" s="78">
        <v>12426.576235999999</v>
      </c>
      <c r="Q15" s="78">
        <v>13126.041304999999</v>
      </c>
      <c r="R15" s="145">
        <v>13758.378554999999</v>
      </c>
      <c r="S15" s="145">
        <v>15188.111638</v>
      </c>
      <c r="T15" s="145">
        <v>15188.111638</v>
      </c>
      <c r="U15" s="78">
        <v>13671.064203</v>
      </c>
      <c r="V15" s="78">
        <v>12295.63</v>
      </c>
      <c r="W15" s="78">
        <v>11855.16</v>
      </c>
      <c r="X15" s="78">
        <v>13276.48</v>
      </c>
    </row>
    <row r="16" spans="1:24" ht="29.25" customHeight="1" thickTop="1" thickBot="1">
      <c r="A16" s="106" t="s">
        <v>368</v>
      </c>
      <c r="B16" s="78">
        <v>2013.8589999999999</v>
      </c>
      <c r="C16" s="78">
        <v>2565.2829999999999</v>
      </c>
      <c r="D16" s="78">
        <v>2577.9920000000002</v>
      </c>
      <c r="E16" s="78">
        <v>2615.009</v>
      </c>
      <c r="F16" s="78">
        <v>1729.635</v>
      </c>
      <c r="G16" s="78">
        <v>1635.64</v>
      </c>
      <c r="H16" s="78">
        <v>2205.2759999999998</v>
      </c>
      <c r="I16" s="78">
        <v>2152.694</v>
      </c>
      <c r="J16" s="78">
        <v>2065.3310000000001</v>
      </c>
      <c r="K16" s="78">
        <v>2065.8890000000001</v>
      </c>
      <c r="L16" s="78">
        <v>2050.2737939999997</v>
      </c>
      <c r="M16" s="78">
        <v>2268.0860000000002</v>
      </c>
      <c r="N16" s="78">
        <v>2247.6030000000001</v>
      </c>
      <c r="O16" s="78">
        <v>2317.1609999999996</v>
      </c>
      <c r="P16" s="78">
        <v>2396.518</v>
      </c>
      <c r="Q16" s="78">
        <v>2532.462</v>
      </c>
      <c r="R16" s="145">
        <v>2849.239</v>
      </c>
      <c r="S16" s="145">
        <v>2911.75</v>
      </c>
      <c r="T16" s="145">
        <v>2911.75</v>
      </c>
      <c r="U16" s="78">
        <v>2869.0279999999998</v>
      </c>
      <c r="V16" s="78">
        <v>2853.12</v>
      </c>
      <c r="W16" s="78">
        <v>3527.94</v>
      </c>
      <c r="X16" s="78">
        <v>3470.86</v>
      </c>
    </row>
    <row r="17" spans="1:24" ht="29.25" customHeight="1" thickTop="1" thickBot="1">
      <c r="A17" s="106" t="s">
        <v>369</v>
      </c>
      <c r="B17" s="78">
        <v>9151.7950000000001</v>
      </c>
      <c r="C17" s="78">
        <v>8911.7070000000003</v>
      </c>
      <c r="D17" s="78">
        <v>9117.27</v>
      </c>
      <c r="E17" s="78">
        <v>9295.2170000000006</v>
      </c>
      <c r="F17" s="78">
        <v>14321.86</v>
      </c>
      <c r="G17" s="78">
        <v>14261.394999999999</v>
      </c>
      <c r="H17" s="78">
        <v>14747.931</v>
      </c>
      <c r="I17" s="78">
        <v>15323.851999999999</v>
      </c>
      <c r="J17" s="78">
        <v>15375.454749999999</v>
      </c>
      <c r="K17" s="78">
        <v>16527.660441</v>
      </c>
      <c r="L17" s="78">
        <v>17012.088000000003</v>
      </c>
      <c r="M17" s="78">
        <v>16616.959569999999</v>
      </c>
      <c r="N17" s="78">
        <v>18085.520124000002</v>
      </c>
      <c r="O17" s="78">
        <v>17904.904175</v>
      </c>
      <c r="P17" s="78">
        <v>18184.939000000002</v>
      </c>
      <c r="Q17" s="78">
        <v>18676.978620000002</v>
      </c>
      <c r="R17" s="145">
        <v>20314.643355</v>
      </c>
      <c r="S17" s="145">
        <v>20260.5488</v>
      </c>
      <c r="T17" s="145">
        <v>20260.5488</v>
      </c>
      <c r="U17" s="78">
        <v>20590.429970000001</v>
      </c>
      <c r="V17" s="78">
        <v>21215.9</v>
      </c>
      <c r="W17" s="78">
        <v>24157.94</v>
      </c>
      <c r="X17" s="78">
        <v>24998.9</v>
      </c>
    </row>
    <row r="18" spans="1:24" ht="29.25" customHeight="1" thickTop="1" thickBot="1">
      <c r="A18" s="106" t="s">
        <v>382</v>
      </c>
      <c r="B18" s="78">
        <v>7087.8643770000008</v>
      </c>
      <c r="C18" s="78">
        <v>6327.8360860000003</v>
      </c>
      <c r="D18" s="78">
        <v>6379.84</v>
      </c>
      <c r="E18" s="78">
        <v>6426.5793999999996</v>
      </c>
      <c r="F18" s="78">
        <v>6813.4050000000007</v>
      </c>
      <c r="G18" s="78">
        <v>6791.2049969999998</v>
      </c>
      <c r="H18" s="78">
        <v>7040.0159459999995</v>
      </c>
      <c r="I18" s="78">
        <v>7076.633546</v>
      </c>
      <c r="J18" s="78">
        <v>7121.3048769999996</v>
      </c>
      <c r="K18" s="78">
        <v>5949.495844</v>
      </c>
      <c r="L18" s="78">
        <v>6210.4479300000012</v>
      </c>
      <c r="M18" s="78">
        <v>6158.4373260000002</v>
      </c>
      <c r="N18" s="78">
        <v>6338.2312549999997</v>
      </c>
      <c r="O18" s="78">
        <v>6853.6900330000008</v>
      </c>
      <c r="P18" s="78">
        <v>7135.5459630000005</v>
      </c>
      <c r="Q18" s="78">
        <v>9478.4169489999986</v>
      </c>
      <c r="R18" s="145">
        <v>10320.011743999999</v>
      </c>
      <c r="S18" s="145">
        <v>9985.4894679999998</v>
      </c>
      <c r="T18" s="145">
        <v>9982.7654679999996</v>
      </c>
      <c r="U18" s="78">
        <v>10182.294538</v>
      </c>
      <c r="V18" s="78">
        <v>11216.92</v>
      </c>
      <c r="W18" s="78">
        <v>11816.98</v>
      </c>
      <c r="X18" s="78">
        <v>12335.38</v>
      </c>
    </row>
    <row r="19" spans="1:24" ht="29.25" customHeight="1" thickTop="1" thickBot="1">
      <c r="A19" s="106" t="s">
        <v>371</v>
      </c>
      <c r="B19" s="78">
        <v>2720.9100000000003</v>
      </c>
      <c r="C19" s="78">
        <v>2658.223</v>
      </c>
      <c r="D19" s="78">
        <v>2654.654</v>
      </c>
      <c r="E19" s="78">
        <v>2959.2289999999998</v>
      </c>
      <c r="F19" s="78">
        <v>2978.5160000000001</v>
      </c>
      <c r="G19" s="78">
        <v>2923.114</v>
      </c>
      <c r="H19" s="78">
        <v>2879.6770000000001</v>
      </c>
      <c r="I19" s="78">
        <v>2863.9380000000001</v>
      </c>
      <c r="J19" s="78">
        <v>3008.8180000000002</v>
      </c>
      <c r="K19" s="78">
        <v>3225.181</v>
      </c>
      <c r="L19" s="78">
        <v>2930.8</v>
      </c>
      <c r="M19" s="78">
        <v>2948.8310000000001</v>
      </c>
      <c r="N19" s="78">
        <v>2922.2080000000005</v>
      </c>
      <c r="O19" s="78">
        <v>2889.3250000000003</v>
      </c>
      <c r="P19" s="78">
        <v>3058.5610000000001</v>
      </c>
      <c r="Q19" s="78">
        <v>2809.1089999999995</v>
      </c>
      <c r="R19" s="145">
        <v>2945.8209999999999</v>
      </c>
      <c r="S19" s="145">
        <v>2888.11</v>
      </c>
      <c r="T19" s="145">
        <v>2888.11</v>
      </c>
      <c r="U19" s="78">
        <v>2811.2</v>
      </c>
      <c r="V19" s="78">
        <v>2723.42</v>
      </c>
      <c r="W19" s="78">
        <v>2741.25</v>
      </c>
      <c r="X19" s="78">
        <v>2680.4</v>
      </c>
    </row>
    <row r="20" spans="1:24" ht="29.25" customHeight="1" thickTop="1" thickBot="1">
      <c r="A20" s="106" t="s">
        <v>372</v>
      </c>
      <c r="B20" s="78">
        <v>21955.465</v>
      </c>
      <c r="C20" s="78">
        <v>10595.072034000001</v>
      </c>
      <c r="D20" s="78">
        <v>21628.046999999999</v>
      </c>
      <c r="E20" s="78">
        <v>1067282.007</v>
      </c>
      <c r="F20" s="78">
        <v>1099121.9210000001</v>
      </c>
      <c r="G20" s="78">
        <v>1151033.3590000002</v>
      </c>
      <c r="H20" s="78">
        <v>1131657.7220000001</v>
      </c>
      <c r="I20" s="78">
        <v>1119196.7250000001</v>
      </c>
      <c r="J20" s="78">
        <v>1142444.878</v>
      </c>
      <c r="K20" s="78">
        <v>1208722.3189999999</v>
      </c>
      <c r="L20" s="78">
        <v>1250711.0839999998</v>
      </c>
      <c r="M20" s="78">
        <v>1300488.5930000001</v>
      </c>
      <c r="N20" s="78">
        <v>1447523.716</v>
      </c>
      <c r="O20" s="78">
        <v>1553105.3660000002</v>
      </c>
      <c r="P20" s="78">
        <v>1646695.359528</v>
      </c>
      <c r="Q20" s="78">
        <v>1699655.2010000001</v>
      </c>
      <c r="R20" s="145">
        <v>1740165.6839999999</v>
      </c>
      <c r="S20" s="145">
        <v>1576190.9240000001</v>
      </c>
      <c r="T20" s="145">
        <v>1576190.9240000001</v>
      </c>
      <c r="U20" s="78">
        <v>1565231.1009450001</v>
      </c>
      <c r="V20" s="78">
        <v>1553048.04</v>
      </c>
      <c r="W20" s="78">
        <v>1536572.63</v>
      </c>
      <c r="X20" s="78">
        <v>1520790.29</v>
      </c>
    </row>
    <row r="21" spans="1:24" ht="29.25" customHeight="1" thickTop="1" thickBot="1">
      <c r="A21" s="106" t="s">
        <v>373</v>
      </c>
      <c r="B21" s="78">
        <v>73889.103000000003</v>
      </c>
      <c r="C21" s="78">
        <v>71891.306221999999</v>
      </c>
      <c r="D21" s="78">
        <v>76329.714000000007</v>
      </c>
      <c r="E21" s="78">
        <v>75165.981</v>
      </c>
      <c r="F21" s="78">
        <v>72227.936000000002</v>
      </c>
      <c r="G21" s="78">
        <v>70454.81</v>
      </c>
      <c r="H21" s="78">
        <v>72726.294999999998</v>
      </c>
      <c r="I21" s="78">
        <v>249339.959</v>
      </c>
      <c r="J21" s="78">
        <v>251695.71400000001</v>
      </c>
      <c r="K21" s="78">
        <v>250781.79399999999</v>
      </c>
      <c r="L21" s="78">
        <v>258224.59700000001</v>
      </c>
      <c r="M21" s="78">
        <v>267951.66399999999</v>
      </c>
      <c r="N21" s="78">
        <v>272113.10899999994</v>
      </c>
      <c r="O21" s="78">
        <v>272565.61600000004</v>
      </c>
      <c r="P21" s="78">
        <v>280582.81900000002</v>
      </c>
      <c r="Q21" s="78">
        <v>287291.13799999998</v>
      </c>
      <c r="R21" s="145">
        <v>287538.239</v>
      </c>
      <c r="S21" s="145">
        <v>293095.77600000001</v>
      </c>
      <c r="T21" s="145">
        <v>293095.77600000001</v>
      </c>
      <c r="U21" s="78">
        <v>286061.82900000003</v>
      </c>
      <c r="V21" s="78">
        <v>288733.78999999998</v>
      </c>
      <c r="W21" s="78">
        <v>286430.98</v>
      </c>
      <c r="X21" s="78">
        <v>290335.34999999998</v>
      </c>
    </row>
    <row r="22" spans="1:24" ht="29.25" customHeight="1" thickTop="1" thickBot="1">
      <c r="A22" s="106" t="s">
        <v>374</v>
      </c>
      <c r="B22" s="78">
        <v>391614.74378199998</v>
      </c>
      <c r="C22" s="78">
        <v>387506.05610000005</v>
      </c>
      <c r="D22" s="78">
        <v>386395.67200000002</v>
      </c>
      <c r="E22" s="78">
        <v>385478.91536800005</v>
      </c>
      <c r="F22" s="78">
        <v>378556.294567</v>
      </c>
      <c r="G22" s="78">
        <v>355627.13183099998</v>
      </c>
      <c r="H22" s="78">
        <v>359818.76315200015</v>
      </c>
      <c r="I22" s="78">
        <v>363251.92989800003</v>
      </c>
      <c r="J22" s="78">
        <v>377509.40765400004</v>
      </c>
      <c r="K22" s="78">
        <v>376656.09904299991</v>
      </c>
      <c r="L22" s="78">
        <v>380654.60332200001</v>
      </c>
      <c r="M22" s="78">
        <v>398005.56737499998</v>
      </c>
      <c r="N22" s="78">
        <v>407265.08991900017</v>
      </c>
      <c r="O22" s="78">
        <v>403779.39039699995</v>
      </c>
      <c r="P22" s="78">
        <v>411184.73743299989</v>
      </c>
      <c r="Q22" s="78">
        <v>417032.27443500014</v>
      </c>
      <c r="R22" s="145">
        <v>411924.18799100001</v>
      </c>
      <c r="S22" s="145">
        <v>349616.527435</v>
      </c>
      <c r="T22" s="145">
        <v>349622.268293</v>
      </c>
      <c r="U22" s="78">
        <v>342449.01934399997</v>
      </c>
      <c r="V22" s="78">
        <v>341361.12</v>
      </c>
      <c r="W22" s="78">
        <v>343381.02</v>
      </c>
      <c r="X22" s="78">
        <v>343132.47</v>
      </c>
    </row>
    <row r="23" spans="1:24" ht="29.25" customHeight="1" thickTop="1" thickBot="1">
      <c r="A23" s="106" t="s">
        <v>375</v>
      </c>
      <c r="B23" s="78">
        <v>7712.1509999999989</v>
      </c>
      <c r="C23" s="78">
        <v>7608.5060000000003</v>
      </c>
      <c r="D23" s="78">
        <v>7685.4880000000003</v>
      </c>
      <c r="E23" s="78">
        <v>7725.0109999999995</v>
      </c>
      <c r="F23" s="78">
        <v>7685.6490000000003</v>
      </c>
      <c r="G23" s="78">
        <v>7359.1889999999994</v>
      </c>
      <c r="H23" s="78">
        <v>7231.2709999999997</v>
      </c>
      <c r="I23" s="78">
        <v>7129.6059999999998</v>
      </c>
      <c r="J23" s="78">
        <v>7663.2240000000011</v>
      </c>
      <c r="K23" s="78">
        <v>7490.8010000000004</v>
      </c>
      <c r="L23" s="78">
        <v>8011.8530000000019</v>
      </c>
      <c r="M23" s="78">
        <v>8012.4339999999993</v>
      </c>
      <c r="N23" s="78">
        <v>8337.1980000000021</v>
      </c>
      <c r="O23" s="78">
        <v>8206.9950000000008</v>
      </c>
      <c r="P23" s="78">
        <v>8241.1339999999982</v>
      </c>
      <c r="Q23" s="78">
        <v>8225.39</v>
      </c>
      <c r="R23" s="145">
        <v>7855.93</v>
      </c>
      <c r="S23" s="145">
        <v>7266.5460000000003</v>
      </c>
      <c r="T23" s="145">
        <v>7266.5460000000003</v>
      </c>
      <c r="U23" s="78">
        <v>9646.3279999999995</v>
      </c>
      <c r="V23" s="78">
        <v>9881.64</v>
      </c>
      <c r="W23" s="78">
        <v>10065.469999999999</v>
      </c>
      <c r="X23" s="78">
        <v>10672.81</v>
      </c>
    </row>
    <row r="24" spans="1:24" ht="29.25" customHeight="1" thickTop="1" thickBot="1">
      <c r="A24" s="106" t="s">
        <v>376</v>
      </c>
      <c r="B24" s="78">
        <v>28594.021999999994</v>
      </c>
      <c r="C24" s="78">
        <v>28344.632000000001</v>
      </c>
      <c r="D24" s="78">
        <v>29171.411</v>
      </c>
      <c r="E24" s="78">
        <v>29192.079000000002</v>
      </c>
      <c r="F24" s="78">
        <v>28724.841999999997</v>
      </c>
      <c r="G24" s="78">
        <v>29609.388999999999</v>
      </c>
      <c r="H24" s="78">
        <v>30850.998</v>
      </c>
      <c r="I24" s="78">
        <v>31185.509999999995</v>
      </c>
      <c r="J24" s="78">
        <v>31776.938603000002</v>
      </c>
      <c r="K24" s="78">
        <v>31256.195724000001</v>
      </c>
      <c r="L24" s="78">
        <v>32023.869122999997</v>
      </c>
      <c r="M24" s="78">
        <v>31115.798512000001</v>
      </c>
      <c r="N24" s="78">
        <v>31875.705143999992</v>
      </c>
      <c r="O24" s="78">
        <v>31436.386480999998</v>
      </c>
      <c r="P24" s="78">
        <v>32549.331115000001</v>
      </c>
      <c r="Q24" s="78">
        <v>32985.680600000007</v>
      </c>
      <c r="R24" s="145">
        <v>35896.183779999999</v>
      </c>
      <c r="S24" s="145">
        <v>34922.491465999999</v>
      </c>
      <c r="T24" s="145">
        <v>34922.491465999999</v>
      </c>
      <c r="U24" s="78">
        <v>37503.296019000001</v>
      </c>
      <c r="V24" s="78">
        <v>38256.449999999997</v>
      </c>
      <c r="W24" s="78">
        <v>37929.97</v>
      </c>
      <c r="X24" s="78">
        <v>44722.98</v>
      </c>
    </row>
    <row r="25" spans="1:24" ht="29.25" customHeight="1" thickTop="1" thickBot="1">
      <c r="A25" s="106" t="s">
        <v>461</v>
      </c>
      <c r="B25" s="78">
        <v>2446.364</v>
      </c>
      <c r="C25" s="78">
        <v>2118.7371840000001</v>
      </c>
      <c r="D25" s="78">
        <v>2197.0450000000001</v>
      </c>
      <c r="E25" s="78">
        <v>2118.3160000000003</v>
      </c>
      <c r="F25" s="78">
        <v>2087.9939999999997</v>
      </c>
      <c r="G25" s="78">
        <v>2231.59</v>
      </c>
      <c r="H25" s="78">
        <v>2027.325</v>
      </c>
      <c r="I25" s="78">
        <v>3585.6959999999999</v>
      </c>
      <c r="J25" s="78">
        <v>3388.4720000000002</v>
      </c>
      <c r="K25" s="78">
        <v>3573.384</v>
      </c>
      <c r="L25" s="78">
        <v>3387.2889999999998</v>
      </c>
      <c r="M25" s="78">
        <v>4321.5960000000005</v>
      </c>
      <c r="N25" s="78">
        <v>7279.0680000000002</v>
      </c>
      <c r="O25" s="78">
        <v>7586.706000000001</v>
      </c>
      <c r="P25" s="78">
        <v>8237.4240000000009</v>
      </c>
      <c r="Q25" s="78">
        <v>7906.4290000000001</v>
      </c>
      <c r="R25" s="145">
        <v>7744.5230000000001</v>
      </c>
      <c r="S25" s="145">
        <v>7884.8109999999997</v>
      </c>
      <c r="T25" s="145">
        <v>7884.8109999999997</v>
      </c>
      <c r="U25" s="78">
        <v>8567.3545520000007</v>
      </c>
      <c r="V25" s="78">
        <v>8298.1200000000008</v>
      </c>
      <c r="W25" s="78">
        <v>8476.9</v>
      </c>
      <c r="X25" s="78">
        <v>8357.66</v>
      </c>
    </row>
    <row r="26" spans="1:24" ht="29.25" customHeight="1" thickTop="1" thickBot="1">
      <c r="A26" s="106" t="s">
        <v>462</v>
      </c>
      <c r="B26" s="78">
        <v>6580.1839999999993</v>
      </c>
      <c r="C26" s="78">
        <v>6685.8760000000002</v>
      </c>
      <c r="D26" s="78">
        <v>6720.7790000000005</v>
      </c>
      <c r="E26" s="78">
        <v>7360.0099999999993</v>
      </c>
      <c r="F26" s="78">
        <v>6270.7529999999988</v>
      </c>
      <c r="G26" s="78">
        <v>5846.4489999999996</v>
      </c>
      <c r="H26" s="78">
        <v>5796.038039</v>
      </c>
      <c r="I26" s="78">
        <v>5822.5445390000004</v>
      </c>
      <c r="J26" s="78">
        <v>5433.6151150000005</v>
      </c>
      <c r="K26" s="78">
        <v>5523.8690459999998</v>
      </c>
      <c r="L26" s="78">
        <v>5619.3860329999998</v>
      </c>
      <c r="M26" s="78">
        <v>5825.3319219999994</v>
      </c>
      <c r="N26" s="78">
        <v>5697.7628920000006</v>
      </c>
      <c r="O26" s="78">
        <v>5978.1390709999996</v>
      </c>
      <c r="P26" s="78">
        <v>6019.924</v>
      </c>
      <c r="Q26" s="78">
        <v>6157.1777919999995</v>
      </c>
      <c r="R26" s="145">
        <v>5501.6595870000001</v>
      </c>
      <c r="S26" s="145">
        <v>5166.3712910000004</v>
      </c>
      <c r="T26" s="145">
        <v>5166.3712910000004</v>
      </c>
      <c r="U26" s="78">
        <v>4276.3759689999997</v>
      </c>
      <c r="V26" s="78">
        <v>4029.63</v>
      </c>
      <c r="W26" s="78">
        <v>4107.8</v>
      </c>
      <c r="X26" s="78">
        <v>4343.97</v>
      </c>
    </row>
    <row r="27" spans="1:24" ht="29.25" customHeight="1" thickTop="1" thickBot="1">
      <c r="A27" s="106" t="s">
        <v>377</v>
      </c>
      <c r="B27" s="78">
        <v>347288.18499999994</v>
      </c>
      <c r="C27" s="78">
        <v>372706.69300000003</v>
      </c>
      <c r="D27" s="78">
        <v>376542.179</v>
      </c>
      <c r="E27" s="78">
        <v>381917.85399999999</v>
      </c>
      <c r="F27" s="78">
        <v>371173.06200000003</v>
      </c>
      <c r="G27" s="78">
        <v>382590.26199999999</v>
      </c>
      <c r="H27" s="78">
        <v>396424.967</v>
      </c>
      <c r="I27" s="78">
        <v>418304.63899999997</v>
      </c>
      <c r="J27" s="78">
        <v>418924.71499999997</v>
      </c>
      <c r="K27" s="78">
        <v>453795.17599999992</v>
      </c>
      <c r="L27" s="78">
        <v>466376.19799999997</v>
      </c>
      <c r="M27" s="78">
        <v>475298.74200000003</v>
      </c>
      <c r="N27" s="78">
        <v>495775.13599999994</v>
      </c>
      <c r="O27" s="78">
        <v>493364.37499999994</v>
      </c>
      <c r="P27" s="78">
        <v>499319.71600000007</v>
      </c>
      <c r="Q27" s="78">
        <v>527579.91500000004</v>
      </c>
      <c r="R27" s="145">
        <v>533707.18000000005</v>
      </c>
      <c r="S27" s="145">
        <v>539429.40399999998</v>
      </c>
      <c r="T27" s="145">
        <v>528263.39500000002</v>
      </c>
      <c r="U27" s="78">
        <v>554977.39399999997</v>
      </c>
      <c r="V27" s="78">
        <v>567941.93000000005</v>
      </c>
      <c r="W27" s="78">
        <v>579625.09</v>
      </c>
      <c r="X27" s="78">
        <v>594106.02</v>
      </c>
    </row>
    <row r="28" spans="1:24" ht="29.25" customHeight="1" thickTop="1" thickBot="1">
      <c r="A28" s="106" t="s">
        <v>378</v>
      </c>
      <c r="B28" s="78">
        <v>15618.603663000005</v>
      </c>
      <c r="C28" s="78">
        <v>14502.607368000001</v>
      </c>
      <c r="D28" s="78">
        <v>15923.334999999999</v>
      </c>
      <c r="E28" s="78">
        <v>16062.618806999999</v>
      </c>
      <c r="F28" s="78">
        <v>16168.581807000002</v>
      </c>
      <c r="G28" s="78">
        <v>17272.915451000004</v>
      </c>
      <c r="H28" s="78">
        <v>18200.506623000001</v>
      </c>
      <c r="I28" s="78">
        <v>18294.174865999998</v>
      </c>
      <c r="J28" s="78">
        <v>18295.576617000002</v>
      </c>
      <c r="K28" s="78">
        <v>18174.312567999998</v>
      </c>
      <c r="L28" s="78">
        <v>17860.808463000001</v>
      </c>
      <c r="M28" s="78">
        <v>18282.668494999994</v>
      </c>
      <c r="N28" s="78">
        <v>18991.074270000005</v>
      </c>
      <c r="O28" s="78">
        <v>19202.428549000004</v>
      </c>
      <c r="P28" s="78">
        <v>17895.5</v>
      </c>
      <c r="Q28" s="78">
        <v>18608.326302999994</v>
      </c>
      <c r="R28" s="145" t="s">
        <v>6</v>
      </c>
      <c r="S28" s="145" t="s">
        <v>6</v>
      </c>
      <c r="T28" s="145" t="s">
        <v>6</v>
      </c>
      <c r="U28" s="145" t="s">
        <v>6</v>
      </c>
      <c r="V28" s="78" t="s">
        <v>6</v>
      </c>
      <c r="W28" s="78" t="s">
        <v>6</v>
      </c>
      <c r="X28" s="78" t="s">
        <v>6</v>
      </c>
    </row>
    <row r="29" spans="1:24" ht="29.25" customHeight="1" thickTop="1" thickBot="1">
      <c r="A29" s="106" t="s">
        <v>379</v>
      </c>
      <c r="B29" s="89" t="s">
        <v>6</v>
      </c>
      <c r="C29" s="78" t="s">
        <v>6</v>
      </c>
      <c r="D29" s="78">
        <v>235.22399999999999</v>
      </c>
      <c r="E29" s="78">
        <v>254.11799999999999</v>
      </c>
      <c r="F29" s="78">
        <v>406.48705699999999</v>
      </c>
      <c r="G29" s="78">
        <v>426.786</v>
      </c>
      <c r="H29" s="78">
        <v>426.53899999999999</v>
      </c>
      <c r="I29" s="78">
        <v>444.67813999999998</v>
      </c>
      <c r="J29" s="78">
        <v>439.24700000000001</v>
      </c>
      <c r="K29" s="78">
        <v>458.24700000000001</v>
      </c>
      <c r="L29" s="78">
        <v>2594.6289999999999</v>
      </c>
      <c r="M29" s="78">
        <v>2751.4434349999997</v>
      </c>
      <c r="N29" s="78">
        <v>5742.1637730000002</v>
      </c>
      <c r="O29" s="78">
        <v>5560.396025</v>
      </c>
      <c r="P29" s="92">
        <v>5983.7251770000003</v>
      </c>
      <c r="Q29" s="92">
        <v>6631.0474020000001</v>
      </c>
      <c r="R29" s="145">
        <v>6975.4807300000002</v>
      </c>
      <c r="S29" s="145">
        <v>7586.3317999999999</v>
      </c>
      <c r="T29" s="145">
        <v>7586.3317999999999</v>
      </c>
      <c r="U29" s="92">
        <v>8114.4269999999997</v>
      </c>
      <c r="V29" s="92">
        <v>8458.98</v>
      </c>
      <c r="W29" s="92">
        <v>8784.2900000000009</v>
      </c>
      <c r="X29" s="92">
        <v>9496.82</v>
      </c>
    </row>
    <row r="30" spans="1:24" ht="15.75" thickTop="1"/>
    <row r="31" spans="1:24">
      <c r="A31" s="44"/>
    </row>
    <row r="32" spans="1:24">
      <c r="A32" s="23" t="s">
        <v>27</v>
      </c>
      <c r="B32" s="23"/>
      <c r="C32" s="23"/>
      <c r="D32" s="47"/>
      <c r="E32" s="47"/>
      <c r="F32" s="47"/>
      <c r="G32" s="47"/>
      <c r="H32" s="47"/>
      <c r="J32" s="47"/>
      <c r="K32" s="47"/>
      <c r="T32" s="47" t="s">
        <v>29</v>
      </c>
    </row>
    <row r="33" spans="1:20">
      <c r="A33" s="23" t="s">
        <v>59</v>
      </c>
      <c r="B33" s="23"/>
      <c r="C33" s="23"/>
      <c r="D33" s="47"/>
      <c r="E33" s="47"/>
      <c r="F33" s="47"/>
      <c r="G33" s="47"/>
      <c r="H33" s="47"/>
      <c r="I33" s="51"/>
      <c r="J33" s="51"/>
      <c r="K33" s="51"/>
      <c r="T33" s="47" t="s">
        <v>60</v>
      </c>
    </row>
    <row r="34" spans="1:20">
      <c r="H34" s="47"/>
    </row>
    <row r="35" spans="1:20">
      <c r="H35" s="47"/>
    </row>
    <row r="36" spans="1:20">
      <c r="H36" s="47"/>
    </row>
    <row r="37" spans="1:20">
      <c r="H37" s="47"/>
    </row>
    <row r="38" spans="1:20">
      <c r="H38" s="47"/>
    </row>
    <row r="39" spans="1:20">
      <c r="H39" s="47"/>
    </row>
    <row r="40" spans="1:20">
      <c r="H40" s="47"/>
    </row>
    <row r="41" spans="1:20">
      <c r="H41" s="47"/>
    </row>
    <row r="42" spans="1:20">
      <c r="H42" s="47"/>
    </row>
    <row r="43" spans="1:20">
      <c r="H43" s="47"/>
    </row>
    <row r="44" spans="1:20">
      <c r="H44" s="47"/>
    </row>
    <row r="45" spans="1:20">
      <c r="H45" s="47"/>
    </row>
    <row r="46" spans="1:20">
      <c r="H46" s="47"/>
    </row>
    <row r="47" spans="1:20">
      <c r="H47" s="47"/>
    </row>
    <row r="48" spans="1:20">
      <c r="H48" s="47"/>
    </row>
    <row r="49" spans="8:8">
      <c r="H49" s="47"/>
    </row>
    <row r="50" spans="8:8">
      <c r="H50" s="47"/>
    </row>
    <row r="51" spans="8:8">
      <c r="H51" s="47"/>
    </row>
    <row r="52" spans="8:8">
      <c r="H52" s="47"/>
    </row>
    <row r="53" spans="8:8">
      <c r="H53" s="47"/>
    </row>
    <row r="54" spans="8:8">
      <c r="H54" s="47"/>
    </row>
    <row r="55" spans="8:8">
      <c r="H55" s="47"/>
    </row>
    <row r="56" spans="8:8">
      <c r="H56" s="47"/>
    </row>
    <row r="57" spans="8:8">
      <c r="H57" s="47"/>
    </row>
    <row r="58" spans="8:8">
      <c r="H58" s="47"/>
    </row>
    <row r="59" spans="8:8">
      <c r="H59" s="47" t="str">
        <f t="shared" ref="H59:H65" si="0">A36&amp;" "&amp;B36&amp;" "&amp;C36</f>
        <v xml:space="preserve">  </v>
      </c>
    </row>
    <row r="60" spans="8:8">
      <c r="H60" s="47" t="str">
        <f t="shared" si="0"/>
        <v xml:space="preserve">  </v>
      </c>
    </row>
    <row r="61" spans="8:8">
      <c r="H61" s="47" t="str">
        <f t="shared" si="0"/>
        <v xml:space="preserve">  </v>
      </c>
    </row>
    <row r="62" spans="8:8">
      <c r="H62" s="47" t="str">
        <f t="shared" si="0"/>
        <v xml:space="preserve">  </v>
      </c>
    </row>
    <row r="63" spans="8:8">
      <c r="H63" s="47" t="str">
        <f t="shared" si="0"/>
        <v xml:space="preserve">  </v>
      </c>
    </row>
    <row r="64" spans="8:8">
      <c r="H64" s="47" t="str">
        <f t="shared" si="0"/>
        <v xml:space="preserve">  </v>
      </c>
    </row>
    <row r="65" spans="8:8">
      <c r="H65" s="47" t="str">
        <f t="shared" si="0"/>
        <v xml:space="preserve">  </v>
      </c>
    </row>
  </sheetData>
  <mergeCells count="1">
    <mergeCell ref="E7:L7"/>
  </mergeCells>
  <hyperlinks>
    <hyperlink ref="A5:C5" location="Main!G8" display="العودة للصفحة الرئيسية" xr:uid="{00000000-0004-0000-1300-000000000000}"/>
  </hyperlinks>
  <pageMargins left="0.7" right="0.7" top="0.75" bottom="0.75" header="0.3" footer="0.3"/>
  <pageSetup paperSize="9" orientation="portrait" r:id="rId1"/>
  <headerFooter>
    <oddFooter>&amp;C&amp;"Calibri"&amp;11&amp;K000000&amp;"Calibri"&amp;11&amp;K000000&amp;"Calibri"&amp;11&amp;K000000&amp;10&amp;K663300Classification: &amp;K000000 Internal  داخلي_x000D_&amp;1#&amp;"Calibri"&amp;10&amp;K000000Internal - داخلي</oddFooter>
    <evenFooter>&amp;C&amp;10&amp;K663300Classification: &amp;K000000 Internal  داخلي</evenFooter>
    <firstFooter>&amp;C&amp;10&amp;K663300Classification: &amp;K000000 Internal  داخلي</firstFooter>
  </headerFooter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8">
    <pageSetUpPr autoPageBreaks="0"/>
  </sheetPr>
  <dimension ref="A1:X76"/>
  <sheetViews>
    <sheetView showGridLines="0" showRowColHeaders="0" rightToLeft="1" topLeftCell="A13" zoomScale="70" zoomScaleNormal="70" workbookViewId="0">
      <pane xSplit="1" topLeftCell="B1" activePane="topRight" state="frozen"/>
      <selection pane="topRight" activeCell="D8" sqref="D8"/>
    </sheetView>
  </sheetViews>
  <sheetFormatPr defaultColWidth="8.42578125" defaultRowHeight="15"/>
  <cols>
    <col min="1" max="1" width="55.42578125" style="26" bestFit="1" customWidth="1"/>
    <col min="2" max="2" width="23.42578125" style="26" customWidth="1"/>
    <col min="3" max="3" width="20.42578125" style="26" customWidth="1"/>
    <col min="4" max="17" width="17.42578125" style="26" customWidth="1"/>
    <col min="18" max="24" width="14.42578125" style="26" customWidth="1"/>
    <col min="25" max="16384" width="8.42578125" style="26"/>
  </cols>
  <sheetData>
    <row r="1" spans="1:24" ht="15" customHeight="1">
      <c r="B1" s="28"/>
      <c r="C1" s="28"/>
    </row>
    <row r="2" spans="1:24" ht="15" customHeight="1">
      <c r="A2" s="29"/>
      <c r="B2" s="29"/>
      <c r="C2" s="29"/>
    </row>
    <row r="3" spans="1:24" ht="15" customHeight="1">
      <c r="A3" s="29"/>
      <c r="B3" s="29"/>
      <c r="C3" s="29"/>
    </row>
    <row r="4" spans="1:24" ht="15" customHeight="1">
      <c r="A4" s="29"/>
      <c r="B4" s="29"/>
      <c r="C4" s="29"/>
    </row>
    <row r="5" spans="1:24" ht="15.75">
      <c r="A5" s="5"/>
      <c r="B5" s="5"/>
      <c r="C5" s="5"/>
    </row>
    <row r="6" spans="1:24" ht="55.5" customHeight="1">
      <c r="C6" s="95"/>
      <c r="D6" s="95"/>
      <c r="E6" s="95"/>
    </row>
    <row r="7" spans="1:24" ht="48" customHeight="1" thickBot="1">
      <c r="D7" s="191" t="s">
        <v>675</v>
      </c>
      <c r="E7" s="191"/>
      <c r="F7" s="191"/>
      <c r="G7" s="191"/>
      <c r="H7" s="191"/>
      <c r="I7" s="49"/>
      <c r="J7" s="49"/>
    </row>
    <row r="8" spans="1:24" ht="46.5" customHeight="1" thickBot="1">
      <c r="D8" s="52"/>
      <c r="E8" s="52"/>
      <c r="F8" s="52"/>
      <c r="G8" s="52"/>
      <c r="U8" s="71" t="s">
        <v>46</v>
      </c>
    </row>
    <row r="9" spans="1:24" ht="60.75" thickBot="1">
      <c r="A9" s="123" t="s">
        <v>123</v>
      </c>
      <c r="B9" s="104" t="s">
        <v>84</v>
      </c>
      <c r="C9" s="104" t="s">
        <v>40</v>
      </c>
      <c r="D9" s="104" t="s">
        <v>48</v>
      </c>
      <c r="E9" s="104" t="s">
        <v>436</v>
      </c>
      <c r="F9" s="104" t="s">
        <v>85</v>
      </c>
      <c r="G9" s="104" t="s">
        <v>86</v>
      </c>
      <c r="H9" s="104" t="s">
        <v>87</v>
      </c>
      <c r="I9" s="104" t="s">
        <v>437</v>
      </c>
      <c r="J9" s="104" t="s">
        <v>88</v>
      </c>
      <c r="K9" s="104" t="s">
        <v>89</v>
      </c>
      <c r="L9" s="104" t="s">
        <v>90</v>
      </c>
      <c r="M9" s="104" t="s">
        <v>434</v>
      </c>
      <c r="N9" s="104" t="s">
        <v>91</v>
      </c>
      <c r="O9" s="104" t="s">
        <v>100</v>
      </c>
      <c r="P9" s="104" t="s">
        <v>390</v>
      </c>
      <c r="Q9" s="104" t="s">
        <v>435</v>
      </c>
      <c r="R9" s="104" t="s">
        <v>456</v>
      </c>
      <c r="S9" s="104" t="s">
        <v>457</v>
      </c>
      <c r="T9" s="104" t="s">
        <v>458</v>
      </c>
      <c r="U9" s="104" t="s">
        <v>594</v>
      </c>
      <c r="V9" s="104" t="s">
        <v>612</v>
      </c>
      <c r="W9" s="104" t="s">
        <v>613</v>
      </c>
      <c r="X9" s="104" t="s">
        <v>614</v>
      </c>
    </row>
    <row r="10" spans="1:24" ht="29.25" customHeight="1" thickTop="1" thickBot="1">
      <c r="A10" s="103" t="s">
        <v>365</v>
      </c>
      <c r="B10" s="79">
        <v>98212.202000000005</v>
      </c>
      <c r="C10" s="79">
        <v>115863.197</v>
      </c>
      <c r="D10" s="79">
        <v>115181.50900000001</v>
      </c>
      <c r="E10" s="79">
        <v>116585.08500000002</v>
      </c>
      <c r="F10" s="79">
        <v>117814.1146</v>
      </c>
      <c r="G10" s="88">
        <v>118738.12700000001</v>
      </c>
      <c r="H10" s="78">
        <v>117780.15799999998</v>
      </c>
      <c r="I10" s="78">
        <v>115975.052</v>
      </c>
      <c r="J10" s="78">
        <v>115707.27829900003</v>
      </c>
      <c r="K10" s="78">
        <v>117763.01119999998</v>
      </c>
      <c r="L10" s="78">
        <v>117659.93700000001</v>
      </c>
      <c r="M10" s="78">
        <v>117634.03565999999</v>
      </c>
      <c r="N10" s="78">
        <v>120212.90087</v>
      </c>
      <c r="O10" s="78">
        <v>120261.371959</v>
      </c>
      <c r="P10" s="145">
        <v>121622.56615000001</v>
      </c>
      <c r="Q10" s="145">
        <v>122085.16614999999</v>
      </c>
      <c r="R10" s="145">
        <v>129042.31067000001</v>
      </c>
      <c r="S10" s="145">
        <v>131261.17487300001</v>
      </c>
      <c r="T10" s="145">
        <v>135744.41065100001</v>
      </c>
      <c r="U10" s="145">
        <v>141010.71457899999</v>
      </c>
      <c r="V10" s="145">
        <v>142228.44</v>
      </c>
      <c r="W10" s="145">
        <v>145203.13</v>
      </c>
      <c r="X10" s="145">
        <v>146464.57</v>
      </c>
    </row>
    <row r="11" spans="1:24" ht="29.25" customHeight="1" thickTop="1" thickBot="1">
      <c r="A11" s="103" t="s">
        <v>479</v>
      </c>
      <c r="B11" s="79">
        <v>178373.29500000001</v>
      </c>
      <c r="C11" s="79">
        <v>184266.72</v>
      </c>
      <c r="D11" s="79">
        <v>179186.486</v>
      </c>
      <c r="E11" s="79">
        <v>185326.97</v>
      </c>
      <c r="F11" s="79">
        <v>189758.47600000002</v>
      </c>
      <c r="G11" s="88">
        <v>188241.88800000001</v>
      </c>
      <c r="H11" s="78">
        <v>186622.96000000002</v>
      </c>
      <c r="I11" s="78">
        <v>189798.861</v>
      </c>
      <c r="J11" s="78">
        <v>191494.55900000001</v>
      </c>
      <c r="K11" s="78">
        <v>185682.27799999999</v>
      </c>
      <c r="L11" s="78">
        <v>190147.46299999999</v>
      </c>
      <c r="M11" s="78">
        <v>195907.353</v>
      </c>
      <c r="N11" s="78">
        <v>197293.41999999998</v>
      </c>
      <c r="O11" s="78">
        <v>198917.837</v>
      </c>
      <c r="P11" s="78">
        <v>200255.17799999999</v>
      </c>
      <c r="Q11" s="78">
        <v>206234.68100000001</v>
      </c>
      <c r="R11" s="145">
        <v>208282.32399999999</v>
      </c>
      <c r="S11" s="145">
        <v>209450.1</v>
      </c>
      <c r="T11" s="145">
        <v>224889.33199999999</v>
      </c>
      <c r="U11" s="78">
        <v>227245.484</v>
      </c>
      <c r="V11" s="78">
        <v>226489.28</v>
      </c>
      <c r="W11" s="78">
        <v>227479</v>
      </c>
      <c r="X11" s="78">
        <v>228193.51</v>
      </c>
    </row>
    <row r="12" spans="1:24" ht="29.25" customHeight="1" thickTop="1" thickBot="1">
      <c r="A12" s="103" t="s">
        <v>380</v>
      </c>
      <c r="B12" s="79">
        <v>5050.3</v>
      </c>
      <c r="C12" s="79">
        <v>4994.5370000000003</v>
      </c>
      <c r="D12" s="79">
        <v>5096.7830000000004</v>
      </c>
      <c r="E12" s="79">
        <v>4623.9189999999999</v>
      </c>
      <c r="F12" s="79">
        <v>4466.9589999999998</v>
      </c>
      <c r="G12" s="88">
        <v>4756.7430000000004</v>
      </c>
      <c r="H12" s="78">
        <v>4751.817</v>
      </c>
      <c r="I12" s="78">
        <v>4682.79</v>
      </c>
      <c r="J12" s="78">
        <v>4710.8720000000003</v>
      </c>
      <c r="K12" s="78">
        <v>4601.732</v>
      </c>
      <c r="L12" s="78">
        <v>4601.6419999999998</v>
      </c>
      <c r="M12" s="78">
        <v>4434.0739999999996</v>
      </c>
      <c r="N12" s="78">
        <v>4539.9650000000001</v>
      </c>
      <c r="O12" s="78">
        <v>4539.9549999999999</v>
      </c>
      <c r="P12" s="78">
        <v>4204.6880000000001</v>
      </c>
      <c r="Q12" s="78">
        <v>3831.752</v>
      </c>
      <c r="R12" s="145">
        <v>5724.26</v>
      </c>
      <c r="S12" s="145">
        <v>5827.4669999999996</v>
      </c>
      <c r="T12" s="145">
        <v>5790.107</v>
      </c>
      <c r="U12" s="78">
        <v>5678.027</v>
      </c>
      <c r="V12" s="78">
        <v>6572.4</v>
      </c>
      <c r="W12" s="78">
        <v>6693.37</v>
      </c>
      <c r="X12" s="78">
        <v>6818.78</v>
      </c>
    </row>
    <row r="13" spans="1:24" ht="29.25" customHeight="1" thickTop="1" thickBot="1">
      <c r="A13" s="103" t="s">
        <v>460</v>
      </c>
      <c r="B13" s="79">
        <v>50991.975999999995</v>
      </c>
      <c r="C13" s="79">
        <v>51943.345000000001</v>
      </c>
      <c r="D13" s="79">
        <v>51876.743000000002</v>
      </c>
      <c r="E13" s="79">
        <v>52586.991999999998</v>
      </c>
      <c r="F13" s="79">
        <v>49560.826000000001</v>
      </c>
      <c r="G13" s="88">
        <v>50261.751000000004</v>
      </c>
      <c r="H13" s="78">
        <v>51343.226000000002</v>
      </c>
      <c r="I13" s="78">
        <v>53763.963000000003</v>
      </c>
      <c r="J13" s="78">
        <v>54571.841999999997</v>
      </c>
      <c r="K13" s="78">
        <v>54725.055</v>
      </c>
      <c r="L13" s="78">
        <v>54910.154999999999</v>
      </c>
      <c r="M13" s="78">
        <v>60510.146000000001</v>
      </c>
      <c r="N13" s="78">
        <v>64521.104999999996</v>
      </c>
      <c r="O13" s="78">
        <v>65405.470999999998</v>
      </c>
      <c r="P13" s="78">
        <v>63248.154999999999</v>
      </c>
      <c r="Q13" s="78">
        <v>67028.688999999998</v>
      </c>
      <c r="R13" s="145">
        <v>72672.977862999993</v>
      </c>
      <c r="S13" s="145">
        <v>75756.253159999993</v>
      </c>
      <c r="T13" s="145">
        <v>72064.015224999996</v>
      </c>
      <c r="U13" s="78">
        <v>74819.615615999995</v>
      </c>
      <c r="V13" s="78">
        <v>77408.14</v>
      </c>
      <c r="W13" s="78">
        <v>76729.02</v>
      </c>
      <c r="X13" s="78">
        <v>78452.240000000005</v>
      </c>
    </row>
    <row r="14" spans="1:24" ht="29.25" customHeight="1" thickTop="1" thickBot="1">
      <c r="A14" s="103" t="s">
        <v>459</v>
      </c>
      <c r="B14" s="79">
        <v>6200.2259999999997</v>
      </c>
      <c r="C14" s="79">
        <v>6342.8029999999999</v>
      </c>
      <c r="D14" s="79">
        <v>6347.6360000000004</v>
      </c>
      <c r="E14" s="79">
        <v>5748.5119999999997</v>
      </c>
      <c r="F14" s="79">
        <v>5728.5320000000002</v>
      </c>
      <c r="G14" s="88">
        <v>5854.8770000000004</v>
      </c>
      <c r="H14" s="78">
        <v>5817.0630000000001</v>
      </c>
      <c r="I14" s="78">
        <v>5689.0969999999998</v>
      </c>
      <c r="J14" s="78">
        <v>5421.2510000000002</v>
      </c>
      <c r="K14" s="78">
        <v>5618.7699999999995</v>
      </c>
      <c r="L14" s="78">
        <v>6256.223</v>
      </c>
      <c r="M14" s="78">
        <v>9834.8220000000001</v>
      </c>
      <c r="N14" s="78">
        <v>8692.9470000000001</v>
      </c>
      <c r="O14" s="78">
        <v>9477.619999999999</v>
      </c>
      <c r="P14" s="78">
        <v>9701.9290000000001</v>
      </c>
      <c r="Q14" s="78">
        <v>9569.4459999999999</v>
      </c>
      <c r="R14" s="145">
        <v>9656.1170000000002</v>
      </c>
      <c r="S14" s="145">
        <v>9856.98</v>
      </c>
      <c r="T14" s="145">
        <v>9609.1630000000005</v>
      </c>
      <c r="U14" s="78">
        <v>10275.69944</v>
      </c>
      <c r="V14" s="78">
        <v>20247.68</v>
      </c>
      <c r="W14" s="78">
        <v>19391.21</v>
      </c>
      <c r="X14" s="78">
        <v>19743.88</v>
      </c>
    </row>
    <row r="15" spans="1:24" ht="29.25" customHeight="1" thickTop="1" thickBot="1">
      <c r="A15" s="103" t="s">
        <v>381</v>
      </c>
      <c r="B15" s="79">
        <v>21682.720999999998</v>
      </c>
      <c r="C15" s="79">
        <v>22147.171999999999</v>
      </c>
      <c r="D15" s="79">
        <v>23342.29</v>
      </c>
      <c r="E15" s="79">
        <v>23704.151811</v>
      </c>
      <c r="F15" s="79">
        <v>24432.448828000001</v>
      </c>
      <c r="G15" s="88">
        <v>23462.569664000002</v>
      </c>
      <c r="H15" s="78">
        <v>23255.161374000003</v>
      </c>
      <c r="I15" s="78">
        <v>22039.935167</v>
      </c>
      <c r="J15" s="78">
        <v>21979.445827999996</v>
      </c>
      <c r="K15" s="78">
        <v>22490.075964999996</v>
      </c>
      <c r="L15" s="78">
        <v>21463.851701</v>
      </c>
      <c r="M15" s="78">
        <v>23139.10571</v>
      </c>
      <c r="N15" s="78">
        <v>23280.773407000001</v>
      </c>
      <c r="O15" s="78">
        <v>23338.582428999998</v>
      </c>
      <c r="P15" s="78">
        <v>24463.145264999999</v>
      </c>
      <c r="Q15" s="78">
        <v>28438.157686999999</v>
      </c>
      <c r="R15" s="145">
        <v>31056.308767999999</v>
      </c>
      <c r="S15" s="145">
        <v>32161.428081999999</v>
      </c>
      <c r="T15" s="145">
        <v>33732.393656</v>
      </c>
      <c r="U15" s="78">
        <v>31474.291792</v>
      </c>
      <c r="V15" s="78">
        <v>28483.919999999998</v>
      </c>
      <c r="W15" s="78">
        <v>27885.43</v>
      </c>
      <c r="X15" s="78">
        <v>30054.400000000001</v>
      </c>
    </row>
    <row r="16" spans="1:24" ht="29.25" customHeight="1" thickTop="1" thickBot="1">
      <c r="A16" s="103" t="s">
        <v>368</v>
      </c>
      <c r="B16" s="79">
        <v>4618.4940000000006</v>
      </c>
      <c r="C16" s="79">
        <v>5768.2910000000002</v>
      </c>
      <c r="D16" s="79">
        <v>5743.0590000000002</v>
      </c>
      <c r="E16" s="79">
        <v>5394.3789999999999</v>
      </c>
      <c r="F16" s="79">
        <v>5765.8920000000007</v>
      </c>
      <c r="G16" s="88">
        <v>5567.4210000000003</v>
      </c>
      <c r="H16" s="78">
        <v>5291.4589999999998</v>
      </c>
      <c r="I16" s="78">
        <v>5072.4679999999998</v>
      </c>
      <c r="J16" s="78">
        <v>5037.3509999999997</v>
      </c>
      <c r="K16" s="78">
        <v>4905.6149999999998</v>
      </c>
      <c r="L16" s="78">
        <v>4933.8129999999992</v>
      </c>
      <c r="M16" s="78">
        <v>4913.8130000000001</v>
      </c>
      <c r="N16" s="78">
        <v>4947.1860000000006</v>
      </c>
      <c r="O16" s="78">
        <v>4994.5150000000003</v>
      </c>
      <c r="P16" s="78">
        <v>5795.884</v>
      </c>
      <c r="Q16" s="78">
        <v>5747.6739999999991</v>
      </c>
      <c r="R16" s="145">
        <v>6279.6329999999998</v>
      </c>
      <c r="S16" s="145">
        <v>6312.2150000000001</v>
      </c>
      <c r="T16" s="145">
        <v>6296.1</v>
      </c>
      <c r="U16" s="78">
        <v>6347.817</v>
      </c>
      <c r="V16" s="78">
        <v>6597.06</v>
      </c>
      <c r="W16" s="78">
        <v>7676.75</v>
      </c>
      <c r="X16" s="78">
        <v>7802.2</v>
      </c>
    </row>
    <row r="17" spans="1:24" ht="29.25" customHeight="1" thickTop="1" thickBot="1">
      <c r="A17" s="103" t="s">
        <v>369</v>
      </c>
      <c r="B17" s="79">
        <v>17121.684000000001</v>
      </c>
      <c r="C17" s="79">
        <v>17656.031999999999</v>
      </c>
      <c r="D17" s="79">
        <v>17804.982</v>
      </c>
      <c r="E17" s="79">
        <v>18308.286</v>
      </c>
      <c r="F17" s="79">
        <v>27534.561999999998</v>
      </c>
      <c r="G17" s="88">
        <v>27467.683999999997</v>
      </c>
      <c r="H17" s="78">
        <v>29691.036</v>
      </c>
      <c r="I17" s="78">
        <v>29825.130999999998</v>
      </c>
      <c r="J17" s="78">
        <v>32163.304</v>
      </c>
      <c r="K17" s="78">
        <v>32522.435616000002</v>
      </c>
      <c r="L17" s="78">
        <v>33270.805999999997</v>
      </c>
      <c r="M17" s="78">
        <v>33445.001531000002</v>
      </c>
      <c r="N17" s="78">
        <v>36441.966385</v>
      </c>
      <c r="O17" s="78">
        <v>36887.259830999996</v>
      </c>
      <c r="P17" s="78">
        <v>37865.019</v>
      </c>
      <c r="Q17" s="78">
        <v>38064.105620000002</v>
      </c>
      <c r="R17" s="145">
        <v>41170.504133000002</v>
      </c>
      <c r="S17" s="145">
        <v>41810.935056000002</v>
      </c>
      <c r="T17" s="145">
        <v>43704.350129999999</v>
      </c>
      <c r="U17" s="78">
        <v>44663.1417</v>
      </c>
      <c r="V17" s="78">
        <v>46695.88</v>
      </c>
      <c r="W17" s="78">
        <v>52628.01</v>
      </c>
      <c r="X17" s="78">
        <v>55494.95</v>
      </c>
    </row>
    <row r="18" spans="1:24" ht="29.25" customHeight="1" thickTop="1" thickBot="1">
      <c r="A18" s="103" t="s">
        <v>382</v>
      </c>
      <c r="B18" s="90">
        <v>19162.465914999997</v>
      </c>
      <c r="C18" s="90">
        <v>18521.304</v>
      </c>
      <c r="D18" s="90">
        <v>16732.225999999999</v>
      </c>
      <c r="E18" s="90">
        <v>16467.727412</v>
      </c>
      <c r="F18" s="90">
        <v>17445.567999999999</v>
      </c>
      <c r="G18" s="91">
        <v>17446.939331999991</v>
      </c>
      <c r="H18" s="92">
        <v>16207.301094999999</v>
      </c>
      <c r="I18" s="92">
        <v>17065.391227</v>
      </c>
      <c r="J18" s="92">
        <v>15849.139382999998</v>
      </c>
      <c r="K18" s="92">
        <v>15283.162366000002</v>
      </c>
      <c r="L18" s="92">
        <v>16357.582640999997</v>
      </c>
      <c r="M18" s="92">
        <v>14812.613731000001</v>
      </c>
      <c r="N18" s="92">
        <v>16567.475525999998</v>
      </c>
      <c r="O18" s="92">
        <v>17389.487615999999</v>
      </c>
      <c r="P18" s="78">
        <v>17814.016930999998</v>
      </c>
      <c r="Q18" s="78">
        <v>21715.334928</v>
      </c>
      <c r="R18" s="145">
        <v>25116.802630999999</v>
      </c>
      <c r="S18" s="145">
        <v>25949.508725</v>
      </c>
      <c r="T18" s="145">
        <v>26002.463803999999</v>
      </c>
      <c r="U18" s="78">
        <v>25484.247445000001</v>
      </c>
      <c r="V18" s="78">
        <v>26743.94</v>
      </c>
      <c r="W18" s="78">
        <v>27817.49</v>
      </c>
      <c r="X18" s="78">
        <v>29088.05</v>
      </c>
    </row>
    <row r="19" spans="1:24" ht="29.25" customHeight="1" thickTop="1" thickBot="1">
      <c r="A19" s="106" t="s">
        <v>371</v>
      </c>
      <c r="B19" s="78">
        <v>5195.1119999999992</v>
      </c>
      <c r="C19" s="78">
        <v>5266.3149999999996</v>
      </c>
      <c r="D19" s="78">
        <v>5185.3040000000001</v>
      </c>
      <c r="E19" s="78">
        <v>5484.34</v>
      </c>
      <c r="F19" s="78">
        <v>5605.8870000000006</v>
      </c>
      <c r="G19" s="78">
        <v>5555.8980000000001</v>
      </c>
      <c r="H19" s="78">
        <v>5208.9930000000004</v>
      </c>
      <c r="I19" s="78">
        <v>5040.793999999999</v>
      </c>
      <c r="J19" s="78">
        <v>5103.4589999999998</v>
      </c>
      <c r="K19" s="78">
        <v>5202.0239999999994</v>
      </c>
      <c r="L19" s="78">
        <v>4803.7330000000002</v>
      </c>
      <c r="M19" s="78">
        <v>4874.9369999999999</v>
      </c>
      <c r="N19" s="78">
        <v>5035.3379999999997</v>
      </c>
      <c r="O19" s="78">
        <v>4971.8609999999999</v>
      </c>
      <c r="P19" s="78">
        <v>5117.9989999999998</v>
      </c>
      <c r="Q19" s="78">
        <v>4892.4350000000004</v>
      </c>
      <c r="R19" s="145">
        <v>5231.1409999999996</v>
      </c>
      <c r="S19" s="145">
        <v>5177.3010000000004</v>
      </c>
      <c r="T19" s="145">
        <v>5088.348</v>
      </c>
      <c r="U19" s="78">
        <v>5102.6440000000002</v>
      </c>
      <c r="V19" s="78">
        <v>5128.9399999999996</v>
      </c>
      <c r="W19" s="78">
        <v>5086.74</v>
      </c>
      <c r="X19" s="78">
        <v>5114.6499999999996</v>
      </c>
    </row>
    <row r="20" spans="1:24" ht="29.25" customHeight="1" thickTop="1" thickBot="1">
      <c r="A20" s="106" t="s">
        <v>372</v>
      </c>
      <c r="B20" s="78">
        <v>101650.50600000001</v>
      </c>
      <c r="C20" s="78">
        <v>101187.923</v>
      </c>
      <c r="D20" s="78">
        <v>101191.83100000001</v>
      </c>
      <c r="E20" s="78">
        <v>1592766.7170000002</v>
      </c>
      <c r="F20" s="78">
        <v>1569014.1980000001</v>
      </c>
      <c r="G20" s="78">
        <v>1953542.7489999998</v>
      </c>
      <c r="H20" s="78">
        <v>1977408.8569999998</v>
      </c>
      <c r="I20" s="78">
        <v>2011041.665</v>
      </c>
      <c r="J20" s="78">
        <v>2050775.1670000001</v>
      </c>
      <c r="K20" s="78">
        <v>2147475.79</v>
      </c>
      <c r="L20" s="78">
        <v>2213188.4750000001</v>
      </c>
      <c r="M20" s="78">
        <v>2263700.5499999998</v>
      </c>
      <c r="N20" s="78">
        <v>2445422.7910000002</v>
      </c>
      <c r="O20" s="78">
        <v>2490134.7820000001</v>
      </c>
      <c r="P20" s="78">
        <v>2555359.5508619999</v>
      </c>
      <c r="Q20" s="78">
        <v>2597715.6949999998</v>
      </c>
      <c r="R20" s="145">
        <v>2587732.4479999999</v>
      </c>
      <c r="S20" s="145">
        <v>2555179.8420000002</v>
      </c>
      <c r="T20" s="145">
        <v>2622269.1579999998</v>
      </c>
      <c r="U20" s="78">
        <v>2602305.3927540001</v>
      </c>
      <c r="V20" s="78">
        <v>2585567.2400000002</v>
      </c>
      <c r="W20" s="78">
        <v>2552489.98</v>
      </c>
      <c r="X20" s="78">
        <v>2550675.8199999998</v>
      </c>
    </row>
    <row r="21" spans="1:24" ht="29.25" customHeight="1" thickTop="1" thickBot="1">
      <c r="A21" s="106" t="s">
        <v>373</v>
      </c>
      <c r="B21" s="78">
        <v>468967.09399999998</v>
      </c>
      <c r="C21" s="78">
        <v>473812.68900000001</v>
      </c>
      <c r="D21" s="78">
        <v>479608.30900000001</v>
      </c>
      <c r="E21" s="78">
        <v>481944.571</v>
      </c>
      <c r="F21" s="78">
        <v>486957.679</v>
      </c>
      <c r="G21" s="78">
        <v>490126.375</v>
      </c>
      <c r="H21" s="78">
        <v>505716.96600000001</v>
      </c>
      <c r="I21" s="78">
        <v>487738.08999999997</v>
      </c>
      <c r="J21" s="78">
        <v>489921.79499999998</v>
      </c>
      <c r="K21" s="78">
        <v>496181.07400000002</v>
      </c>
      <c r="L21" s="78">
        <v>480815.38199999998</v>
      </c>
      <c r="M21" s="78">
        <v>523617.46899999998</v>
      </c>
      <c r="N21" s="78">
        <v>526295.87300000002</v>
      </c>
      <c r="O21" s="78">
        <v>534535.98200000008</v>
      </c>
      <c r="P21" s="78">
        <v>539069.21900000004</v>
      </c>
      <c r="Q21" s="78">
        <v>556768.68900000001</v>
      </c>
      <c r="R21" s="145">
        <v>562039.52399999998</v>
      </c>
      <c r="S21" s="145">
        <v>574393.22600000002</v>
      </c>
      <c r="T21" s="145">
        <v>589624.90399999998</v>
      </c>
      <c r="U21" s="78">
        <v>583088.93599999999</v>
      </c>
      <c r="V21" s="78">
        <v>601667.74</v>
      </c>
      <c r="W21" s="78">
        <v>613404.21</v>
      </c>
      <c r="X21" s="78">
        <v>629923.6</v>
      </c>
    </row>
    <row r="22" spans="1:24" ht="29.25" customHeight="1" thickTop="1" thickBot="1">
      <c r="A22" s="106" t="s">
        <v>374</v>
      </c>
      <c r="B22" s="78">
        <v>659330.07557400002</v>
      </c>
      <c r="C22" s="78">
        <v>644135.01300000004</v>
      </c>
      <c r="D22" s="78">
        <v>632631.21499999997</v>
      </c>
      <c r="E22" s="78">
        <v>626200.43425099994</v>
      </c>
      <c r="F22" s="78">
        <v>617013.57645399997</v>
      </c>
      <c r="G22" s="78">
        <v>589725.25830899994</v>
      </c>
      <c r="H22" s="78">
        <v>596372.95845899999</v>
      </c>
      <c r="I22" s="78">
        <v>600401.1106459999</v>
      </c>
      <c r="J22" s="78">
        <v>612791.25688100001</v>
      </c>
      <c r="K22" s="78">
        <v>620423.26480999996</v>
      </c>
      <c r="L22" s="78">
        <v>616824.82358000008</v>
      </c>
      <c r="M22" s="78">
        <v>634278.50952299999</v>
      </c>
      <c r="N22" s="78">
        <v>640284.59137499996</v>
      </c>
      <c r="O22" s="78">
        <v>640199.25514399994</v>
      </c>
      <c r="P22" s="78">
        <v>639750.83250299981</v>
      </c>
      <c r="Q22" s="78">
        <v>640906.16871099977</v>
      </c>
      <c r="R22" s="145">
        <v>641028.00974100002</v>
      </c>
      <c r="S22" s="145">
        <v>622686.65140800003</v>
      </c>
      <c r="T22" s="145">
        <v>621154.72877499997</v>
      </c>
      <c r="U22" s="78">
        <v>619495.72255399998</v>
      </c>
      <c r="V22" s="78">
        <v>609914.44999999995</v>
      </c>
      <c r="W22" s="78">
        <v>615225.03</v>
      </c>
      <c r="X22" s="78">
        <v>600488.98</v>
      </c>
    </row>
    <row r="23" spans="1:24" ht="29.25" customHeight="1" thickTop="1" thickBot="1">
      <c r="A23" s="106" t="s">
        <v>375</v>
      </c>
      <c r="B23" s="78">
        <v>12269.497000000001</v>
      </c>
      <c r="C23" s="78">
        <v>12381.61</v>
      </c>
      <c r="D23" s="78">
        <v>12967.603999999999</v>
      </c>
      <c r="E23" s="78">
        <v>13340.764999999999</v>
      </c>
      <c r="F23" s="78">
        <v>13490.366999999998</v>
      </c>
      <c r="G23" s="78">
        <v>14720.616000000002</v>
      </c>
      <c r="H23" s="78">
        <v>15718.569</v>
      </c>
      <c r="I23" s="78">
        <v>15832.161000000002</v>
      </c>
      <c r="J23" s="78">
        <v>17775.574000000001</v>
      </c>
      <c r="K23" s="78">
        <v>17922.652999999998</v>
      </c>
      <c r="L23" s="78">
        <v>18895.383999999998</v>
      </c>
      <c r="M23" s="78">
        <v>18998.095000000001</v>
      </c>
      <c r="N23" s="78">
        <v>19203.462</v>
      </c>
      <c r="O23" s="78">
        <v>19196.781000000003</v>
      </c>
      <c r="P23" s="78">
        <v>19507.478999999999</v>
      </c>
      <c r="Q23" s="78">
        <v>19843.699999999997</v>
      </c>
      <c r="R23" s="145">
        <v>18350.952000000001</v>
      </c>
      <c r="S23" s="145">
        <v>18825.311000000002</v>
      </c>
      <c r="T23" s="145">
        <v>21419.534</v>
      </c>
      <c r="U23" s="78">
        <v>26041.052</v>
      </c>
      <c r="V23" s="78">
        <v>26596.71</v>
      </c>
      <c r="W23" s="78">
        <v>26330.75</v>
      </c>
      <c r="X23" s="78">
        <v>28137.119999999999</v>
      </c>
    </row>
    <row r="24" spans="1:24" ht="29.25" customHeight="1" thickTop="1" thickBot="1">
      <c r="A24" s="106" t="s">
        <v>376</v>
      </c>
      <c r="B24" s="78">
        <v>71298.184999999998</v>
      </c>
      <c r="C24" s="78">
        <v>70573.209000000003</v>
      </c>
      <c r="D24" s="78">
        <v>71203.195999999996</v>
      </c>
      <c r="E24" s="78">
        <v>69659.350000000006</v>
      </c>
      <c r="F24" s="78">
        <v>71113.134999999995</v>
      </c>
      <c r="G24" s="78">
        <v>70420.475999999995</v>
      </c>
      <c r="H24" s="78">
        <v>71033.058999999994</v>
      </c>
      <c r="I24" s="78">
        <v>69408.67</v>
      </c>
      <c r="J24" s="78">
        <v>72076.388516999999</v>
      </c>
      <c r="K24" s="78">
        <v>71513.563819000003</v>
      </c>
      <c r="L24" s="78">
        <v>71667.838485</v>
      </c>
      <c r="M24" s="78">
        <v>71714.095098999998</v>
      </c>
      <c r="N24" s="78">
        <v>74043.272202000007</v>
      </c>
      <c r="O24" s="78">
        <v>75512.715576999995</v>
      </c>
      <c r="P24" s="78">
        <v>77507.836949000004</v>
      </c>
      <c r="Q24" s="78">
        <v>74232.720705999993</v>
      </c>
      <c r="R24" s="145">
        <v>81170.069461000006</v>
      </c>
      <c r="S24" s="145">
        <v>82071.566386000006</v>
      </c>
      <c r="T24" s="145">
        <v>84880.939968000006</v>
      </c>
      <c r="U24" s="78">
        <v>85928.248267999996</v>
      </c>
      <c r="V24" s="78">
        <v>86523.03</v>
      </c>
      <c r="W24" s="78">
        <v>85929.58</v>
      </c>
      <c r="X24" s="78">
        <v>91064.3</v>
      </c>
    </row>
    <row r="25" spans="1:24" ht="29.25" customHeight="1" thickTop="1" thickBot="1">
      <c r="A25" s="106" t="s">
        <v>461</v>
      </c>
      <c r="B25" s="78">
        <v>7871.7389999999996</v>
      </c>
      <c r="C25" s="78">
        <v>7520.7370000000001</v>
      </c>
      <c r="D25" s="78">
        <v>7255.2550000000001</v>
      </c>
      <c r="E25" s="78">
        <v>7179.8720000000003</v>
      </c>
      <c r="F25" s="78">
        <v>7752.2330000000002</v>
      </c>
      <c r="G25" s="78">
        <v>7433.86</v>
      </c>
      <c r="H25" s="78">
        <v>7368.9439999999995</v>
      </c>
      <c r="I25" s="78">
        <v>12234.938</v>
      </c>
      <c r="J25" s="78">
        <v>13105.263999999999</v>
      </c>
      <c r="K25" s="78">
        <v>12248.805</v>
      </c>
      <c r="L25" s="78">
        <v>12088.121999999999</v>
      </c>
      <c r="M25" s="78">
        <v>13504.847000000002</v>
      </c>
      <c r="N25" s="78">
        <v>23797.507000000005</v>
      </c>
      <c r="O25" s="78">
        <v>23554.701999999997</v>
      </c>
      <c r="P25" s="78">
        <v>24887.048000000003</v>
      </c>
      <c r="Q25" s="78">
        <v>24410.284999999996</v>
      </c>
      <c r="R25" s="145">
        <v>26761.973999999998</v>
      </c>
      <c r="S25" s="145">
        <v>25596.718000000001</v>
      </c>
      <c r="T25" s="145">
        <v>24991.451000000001</v>
      </c>
      <c r="U25" s="78">
        <v>25747.500705999999</v>
      </c>
      <c r="V25" s="78">
        <v>27203.96</v>
      </c>
      <c r="W25" s="78">
        <v>26920.98</v>
      </c>
      <c r="X25" s="78">
        <v>27393.45</v>
      </c>
    </row>
    <row r="26" spans="1:24" ht="29.25" customHeight="1" thickTop="1" thickBot="1">
      <c r="A26" s="106" t="s">
        <v>462</v>
      </c>
      <c r="B26" s="78">
        <v>17991.857</v>
      </c>
      <c r="C26" s="78">
        <v>23430.06</v>
      </c>
      <c r="D26" s="78">
        <v>22611.337</v>
      </c>
      <c r="E26" s="78">
        <v>23159.677</v>
      </c>
      <c r="F26" s="78">
        <v>23853.385000000002</v>
      </c>
      <c r="G26" s="78">
        <v>22839.221999999998</v>
      </c>
      <c r="H26" s="78">
        <v>22338.843196999995</v>
      </c>
      <c r="I26" s="78">
        <v>22221.379128</v>
      </c>
      <c r="J26" s="78">
        <v>23041.484044000001</v>
      </c>
      <c r="K26" s="78">
        <v>22388.385489</v>
      </c>
      <c r="L26" s="78">
        <v>22845.814426999998</v>
      </c>
      <c r="M26" s="78">
        <v>23353.319156000001</v>
      </c>
      <c r="N26" s="78">
        <v>23995.177375999996</v>
      </c>
      <c r="O26" s="78">
        <v>25925.301085999999</v>
      </c>
      <c r="P26" s="78">
        <v>26530.502</v>
      </c>
      <c r="Q26" s="78">
        <v>26428.092761</v>
      </c>
      <c r="R26" s="145">
        <v>24692.818621999999</v>
      </c>
      <c r="S26" s="145">
        <v>23840.097457</v>
      </c>
      <c r="T26" s="145">
        <v>23683.33772</v>
      </c>
      <c r="U26" s="78">
        <v>22918.31727</v>
      </c>
      <c r="V26" s="78">
        <v>22736.46</v>
      </c>
      <c r="W26" s="78">
        <v>22764.62</v>
      </c>
      <c r="X26" s="78">
        <v>22788.04</v>
      </c>
    </row>
    <row r="27" spans="1:24" ht="29.25" customHeight="1" thickTop="1" thickBot="1">
      <c r="A27" s="106" t="s">
        <v>377</v>
      </c>
      <c r="B27" s="78">
        <v>2196043.1940000001</v>
      </c>
      <c r="C27" s="78">
        <v>2347685.1379999998</v>
      </c>
      <c r="D27" s="78">
        <v>2355528.7940000002</v>
      </c>
      <c r="E27" s="78">
        <v>2445080.3670000001</v>
      </c>
      <c r="F27" s="78">
        <v>2540019.736</v>
      </c>
      <c r="G27" s="78">
        <v>2633084.716</v>
      </c>
      <c r="H27" s="78">
        <v>2689701.895</v>
      </c>
      <c r="I27" s="78">
        <v>2763420.1430000002</v>
      </c>
      <c r="J27" s="78">
        <v>2807917.2110000001</v>
      </c>
      <c r="K27" s="78">
        <v>2895473.3939999999</v>
      </c>
      <c r="L27" s="78">
        <v>2949586.4390000002</v>
      </c>
      <c r="M27" s="78">
        <v>3036569.9729999998</v>
      </c>
      <c r="N27" s="78">
        <v>3154781.3650000002</v>
      </c>
      <c r="O27" s="78">
        <v>3309279.3680000007</v>
      </c>
      <c r="P27" s="78">
        <v>3309279.3680000007</v>
      </c>
      <c r="Q27" s="78">
        <v>3389386.3949999991</v>
      </c>
      <c r="R27" s="145">
        <v>3506485.747</v>
      </c>
      <c r="S27" s="145">
        <v>3576876.3309999998</v>
      </c>
      <c r="T27" s="145">
        <v>3643397.16</v>
      </c>
      <c r="U27" s="78">
        <v>3702092.03</v>
      </c>
      <c r="V27" s="78">
        <v>3843914.47</v>
      </c>
      <c r="W27" s="78">
        <v>3952762.79</v>
      </c>
      <c r="X27" s="78">
        <v>4101667.71</v>
      </c>
    </row>
    <row r="28" spans="1:24" ht="29.25" customHeight="1" thickTop="1" thickBot="1">
      <c r="A28" s="106" t="s">
        <v>378</v>
      </c>
      <c r="B28" s="78">
        <v>18235.860293000002</v>
      </c>
      <c r="C28" s="78">
        <v>18401.588</v>
      </c>
      <c r="D28" s="78">
        <v>18633.774000000001</v>
      </c>
      <c r="E28" s="78">
        <v>18277.641181999996</v>
      </c>
      <c r="F28" s="78">
        <v>18688.221181999997</v>
      </c>
      <c r="G28" s="78">
        <v>19795.516487000001</v>
      </c>
      <c r="H28" s="78">
        <v>20539.177982999998</v>
      </c>
      <c r="I28" s="78">
        <v>20733.712325999997</v>
      </c>
      <c r="J28" s="78">
        <v>21770.170497999996</v>
      </c>
      <c r="K28" s="78">
        <v>20950.013191000002</v>
      </c>
      <c r="L28" s="78">
        <v>20610.058970999999</v>
      </c>
      <c r="M28" s="78">
        <v>21024.430703999995</v>
      </c>
      <c r="N28" s="78">
        <v>21840.023969999998</v>
      </c>
      <c r="O28" s="78">
        <v>22336.784579000003</v>
      </c>
      <c r="P28" s="78">
        <v>20590.892</v>
      </c>
      <c r="Q28" s="78">
        <v>21168.701441000001</v>
      </c>
      <c r="R28" s="78" t="s">
        <v>6</v>
      </c>
      <c r="S28" s="78" t="s">
        <v>6</v>
      </c>
      <c r="T28" s="78" t="s">
        <v>6</v>
      </c>
      <c r="U28" s="78" t="s">
        <v>6</v>
      </c>
      <c r="V28" s="78" t="s">
        <v>6</v>
      </c>
      <c r="W28" s="78" t="s">
        <v>6</v>
      </c>
      <c r="X28" s="78" t="s">
        <v>6</v>
      </c>
    </row>
    <row r="29" spans="1:24" ht="34.5" customHeight="1" thickTop="1" thickBot="1">
      <c r="A29" s="106" t="s">
        <v>379</v>
      </c>
      <c r="B29" s="89" t="s">
        <v>6</v>
      </c>
      <c r="C29" s="78">
        <v>908.53599999999994</v>
      </c>
      <c r="D29" s="78">
        <v>980.82799999999997</v>
      </c>
      <c r="E29" s="78">
        <v>935.91200000000003</v>
      </c>
      <c r="F29" s="78">
        <v>1238.1962000000001</v>
      </c>
      <c r="G29" s="78">
        <v>1443.6769999999999</v>
      </c>
      <c r="H29" s="78">
        <v>1390.3620000000001</v>
      </c>
      <c r="I29" s="78">
        <v>1294.312709</v>
      </c>
      <c r="J29" s="78">
        <v>1322.45</v>
      </c>
      <c r="K29" s="78">
        <v>1382.2299999999998</v>
      </c>
      <c r="L29" s="78">
        <v>7584.1129999999994</v>
      </c>
      <c r="M29" s="78">
        <v>8490.0464389999997</v>
      </c>
      <c r="N29" s="78">
        <v>14254.140573000001</v>
      </c>
      <c r="O29" s="78">
        <v>14784.237343999999</v>
      </c>
      <c r="P29" s="92">
        <v>15944.005958</v>
      </c>
      <c r="Q29" s="92">
        <v>18874.948925000001</v>
      </c>
      <c r="R29" s="145">
        <v>19864.209147000001</v>
      </c>
      <c r="S29" s="145">
        <v>20091.993439999998</v>
      </c>
      <c r="T29" s="145">
        <v>21356.269799999998</v>
      </c>
      <c r="U29" s="92">
        <v>22795.101999999999</v>
      </c>
      <c r="V29" s="92">
        <v>23501.79</v>
      </c>
      <c r="W29" s="92">
        <v>23254.65</v>
      </c>
      <c r="X29" s="92">
        <v>23874.3</v>
      </c>
    </row>
    <row r="30" spans="1:24" ht="15.75" thickTop="1"/>
    <row r="32" spans="1:24">
      <c r="A32" s="23" t="s">
        <v>69</v>
      </c>
      <c r="B32" s="53"/>
      <c r="C32" s="53"/>
      <c r="D32" s="53"/>
      <c r="E32" s="53"/>
      <c r="H32" s="54"/>
      <c r="J32" s="47"/>
      <c r="K32" s="47"/>
      <c r="L32" s="54"/>
      <c r="U32" s="26" t="s">
        <v>68</v>
      </c>
    </row>
    <row r="33" spans="1:21">
      <c r="A33" s="23" t="s">
        <v>59</v>
      </c>
      <c r="B33" s="53"/>
      <c r="C33" s="53"/>
      <c r="D33" s="53"/>
      <c r="E33" s="53"/>
      <c r="J33" s="51"/>
      <c r="K33" s="51"/>
      <c r="U33" s="51" t="s">
        <v>60</v>
      </c>
    </row>
    <row r="64" spans="10:10">
      <c r="J64" s="26" t="str">
        <f t="shared" ref="J64:J76" si="0">A35&amp;" "&amp;B35&amp;" "&amp;C35</f>
        <v xml:space="preserve">  </v>
      </c>
    </row>
    <row r="65" spans="10:10">
      <c r="J65" s="26" t="str">
        <f t="shared" si="0"/>
        <v xml:space="preserve">  </v>
      </c>
    </row>
    <row r="66" spans="10:10">
      <c r="J66" s="26" t="str">
        <f t="shared" si="0"/>
        <v xml:space="preserve">  </v>
      </c>
    </row>
    <row r="67" spans="10:10">
      <c r="J67" s="26" t="str">
        <f t="shared" si="0"/>
        <v xml:space="preserve">  </v>
      </c>
    </row>
    <row r="68" spans="10:10">
      <c r="J68" s="26" t="str">
        <f t="shared" si="0"/>
        <v xml:space="preserve">  </v>
      </c>
    </row>
    <row r="69" spans="10:10">
      <c r="J69" s="26" t="str">
        <f t="shared" si="0"/>
        <v xml:space="preserve">  </v>
      </c>
    </row>
    <row r="70" spans="10:10">
      <c r="J70" s="26" t="str">
        <f t="shared" si="0"/>
        <v xml:space="preserve">  </v>
      </c>
    </row>
    <row r="71" spans="10:10">
      <c r="J71" s="26" t="str">
        <f t="shared" si="0"/>
        <v xml:space="preserve">  </v>
      </c>
    </row>
    <row r="72" spans="10:10">
      <c r="J72" s="26" t="str">
        <f t="shared" si="0"/>
        <v xml:space="preserve">  </v>
      </c>
    </row>
    <row r="73" spans="10:10">
      <c r="J73" s="26" t="str">
        <f t="shared" si="0"/>
        <v xml:space="preserve">  </v>
      </c>
    </row>
    <row r="74" spans="10:10">
      <c r="J74" s="26" t="str">
        <f t="shared" si="0"/>
        <v xml:space="preserve">  </v>
      </c>
    </row>
    <row r="75" spans="10:10">
      <c r="J75" s="26" t="str">
        <f t="shared" si="0"/>
        <v xml:space="preserve">  </v>
      </c>
    </row>
    <row r="76" spans="10:10">
      <c r="J76" s="26" t="str">
        <f t="shared" si="0"/>
        <v xml:space="preserve">  </v>
      </c>
    </row>
  </sheetData>
  <mergeCells count="1">
    <mergeCell ref="D7:H7"/>
  </mergeCells>
  <hyperlinks>
    <hyperlink ref="A5:C5" location="Main!G8" display="العودة للصفحة الرئيسية" xr:uid="{00000000-0004-0000-1400-000000000000}"/>
  </hyperlinks>
  <pageMargins left="0.7" right="0.7" top="0.75" bottom="0.75" header="0.3" footer="0.3"/>
  <pageSetup paperSize="9" orientation="portrait" r:id="rId1"/>
  <headerFooter>
    <oddFooter>&amp;C&amp;"Calibri"&amp;11&amp;K000000&amp;"Calibri"&amp;11&amp;K000000&amp;"Calibri"&amp;11&amp;K000000&amp;10&amp;K663300Classification: &amp;K000000 Internal  داخلي_x000D_&amp;1#&amp;"Calibri"&amp;10&amp;K000000Internal - داخلي</oddFooter>
    <evenFooter>&amp;C&amp;10&amp;K663300Classification: &amp;K000000 Internal  داخلي</evenFooter>
    <firstFooter>&amp;C&amp;10&amp;K663300Classification: &amp;K000000 Internal  داخلي</firstFooter>
  </headerFooter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9">
    <pageSetUpPr autoPageBreaks="0"/>
  </sheetPr>
  <dimension ref="A1:X60"/>
  <sheetViews>
    <sheetView showGridLines="0" showRowColHeaders="0" rightToLeft="1" zoomScale="55" zoomScaleNormal="55" workbookViewId="0">
      <pane xSplit="1" topLeftCell="B1" activePane="topRight" state="frozen"/>
      <selection pane="topRight" activeCell="C6" sqref="C6"/>
    </sheetView>
  </sheetViews>
  <sheetFormatPr defaultColWidth="9" defaultRowHeight="15"/>
  <cols>
    <col min="1" max="1" width="51" style="26" bestFit="1" customWidth="1"/>
    <col min="2" max="2" width="23.42578125" style="26" customWidth="1"/>
    <col min="3" max="3" width="20.42578125" style="26" customWidth="1"/>
    <col min="4" max="14" width="17.42578125" style="26" customWidth="1"/>
    <col min="15" max="21" width="16.85546875" style="26" customWidth="1"/>
    <col min="22" max="23" width="17.5703125" style="26" bestFit="1" customWidth="1"/>
    <col min="24" max="24" width="17.42578125" style="26" bestFit="1" customWidth="1"/>
    <col min="25" max="16384" width="9" style="26"/>
  </cols>
  <sheetData>
    <row r="1" spans="1:24" ht="15" customHeight="1">
      <c r="B1" s="28"/>
      <c r="C1" s="28"/>
      <c r="D1" s="28"/>
    </row>
    <row r="2" spans="1:24" ht="15" customHeight="1">
      <c r="A2" s="29"/>
      <c r="B2" s="29"/>
      <c r="C2" s="29"/>
      <c r="D2" s="29"/>
      <c r="E2" s="29"/>
      <c r="F2" s="29"/>
      <c r="G2" s="29"/>
      <c r="H2" s="30"/>
    </row>
    <row r="3" spans="1:24" ht="15" customHeight="1">
      <c r="A3" s="29"/>
      <c r="B3" s="29"/>
      <c r="C3" s="29"/>
      <c r="D3" s="29"/>
      <c r="E3" s="29"/>
      <c r="F3" s="29"/>
      <c r="G3" s="29"/>
      <c r="H3" s="30"/>
    </row>
    <row r="4" spans="1:24" ht="24" customHeight="1">
      <c r="A4" s="29"/>
      <c r="B4" s="29"/>
      <c r="C4" s="29"/>
      <c r="D4" s="29"/>
      <c r="E4" s="29"/>
      <c r="F4" s="29"/>
      <c r="G4" s="29"/>
      <c r="H4" s="30"/>
    </row>
    <row r="5" spans="1:24" ht="55.5" customHeight="1">
      <c r="A5" s="100"/>
      <c r="B5" s="95"/>
      <c r="C5" s="191" t="s">
        <v>676</v>
      </c>
      <c r="D5" s="191"/>
      <c r="E5" s="191"/>
      <c r="F5" s="191"/>
      <c r="G5" s="191"/>
      <c r="H5" s="95"/>
    </row>
    <row r="6" spans="1:24" ht="41.25" customHeight="1" thickBot="1">
      <c r="H6" s="49"/>
      <c r="I6" s="49"/>
      <c r="J6" s="49"/>
      <c r="O6" s="49"/>
    </row>
    <row r="7" spans="1:24" ht="26.25" thickBot="1">
      <c r="H7" s="50"/>
      <c r="I7" s="50"/>
      <c r="J7" s="50"/>
      <c r="K7" s="50"/>
      <c r="U7" s="71" t="s">
        <v>46</v>
      </c>
    </row>
    <row r="8" spans="1:24" ht="60.75" thickBot="1">
      <c r="A8" s="108" t="s">
        <v>123</v>
      </c>
      <c r="B8" s="104" t="s">
        <v>94</v>
      </c>
      <c r="C8" s="104" t="s">
        <v>40</v>
      </c>
      <c r="D8" s="104" t="s">
        <v>48</v>
      </c>
      <c r="E8" s="104" t="s">
        <v>436</v>
      </c>
      <c r="F8" s="104" t="s">
        <v>85</v>
      </c>
      <c r="G8" s="104" t="s">
        <v>86</v>
      </c>
      <c r="H8" s="104" t="s">
        <v>87</v>
      </c>
      <c r="I8" s="104" t="s">
        <v>437</v>
      </c>
      <c r="J8" s="104" t="s">
        <v>88</v>
      </c>
      <c r="K8" s="104" t="s">
        <v>89</v>
      </c>
      <c r="L8" s="104" t="s">
        <v>90</v>
      </c>
      <c r="M8" s="104" t="s">
        <v>434</v>
      </c>
      <c r="N8" s="104" t="s">
        <v>91</v>
      </c>
      <c r="O8" s="104" t="s">
        <v>100</v>
      </c>
      <c r="P8" s="104" t="s">
        <v>390</v>
      </c>
      <c r="Q8" s="104" t="s">
        <v>435</v>
      </c>
      <c r="R8" s="104" t="s">
        <v>456</v>
      </c>
      <c r="S8" s="104" t="s">
        <v>457</v>
      </c>
      <c r="T8" s="104" t="s">
        <v>458</v>
      </c>
      <c r="U8" s="104" t="s">
        <v>594</v>
      </c>
      <c r="V8" s="104" t="s">
        <v>612</v>
      </c>
      <c r="W8" s="104" t="s">
        <v>613</v>
      </c>
      <c r="X8" s="104" t="s">
        <v>614</v>
      </c>
    </row>
    <row r="9" spans="1:24" ht="29.45" customHeight="1" thickTop="1" thickBot="1">
      <c r="A9" s="80" t="s">
        <v>365</v>
      </c>
      <c r="B9" s="79">
        <v>36036.754499999995</v>
      </c>
      <c r="C9" s="79">
        <v>47992.152999999998</v>
      </c>
      <c r="D9" s="79">
        <v>46012.575400000002</v>
      </c>
      <c r="E9" s="79">
        <v>48622.304900000003</v>
      </c>
      <c r="F9" s="88">
        <v>46017.574999999997</v>
      </c>
      <c r="G9" s="78">
        <v>51694.954008000001</v>
      </c>
      <c r="H9" s="78">
        <v>45390.2546</v>
      </c>
      <c r="I9" s="78">
        <v>46176.124040999995</v>
      </c>
      <c r="J9" s="78">
        <v>45858.969548999994</v>
      </c>
      <c r="K9" s="78">
        <v>46758.719250000002</v>
      </c>
      <c r="L9" s="78">
        <v>43845.107250000001</v>
      </c>
      <c r="M9" s="78">
        <v>41602.78615</v>
      </c>
      <c r="N9" s="78">
        <v>43064.802764000007</v>
      </c>
      <c r="O9" s="78">
        <v>41988.385977999998</v>
      </c>
      <c r="P9" s="145">
        <v>44242.902999999998</v>
      </c>
      <c r="Q9" s="145">
        <v>44960.968482999997</v>
      </c>
      <c r="R9" s="145">
        <v>43532.362500000003</v>
      </c>
      <c r="S9" s="145">
        <v>45022.237800000003</v>
      </c>
      <c r="T9" s="145">
        <v>48096.205619</v>
      </c>
      <c r="U9" s="145">
        <v>49818.583384999998</v>
      </c>
      <c r="V9" s="145">
        <v>52543.81</v>
      </c>
      <c r="W9" s="145">
        <v>54143.839999999997</v>
      </c>
      <c r="X9" s="145">
        <v>54751.18</v>
      </c>
    </row>
    <row r="10" spans="1:24" ht="29.45" customHeight="1" thickTop="1" thickBot="1">
      <c r="A10" s="80" t="s">
        <v>479</v>
      </c>
      <c r="B10" s="79">
        <v>33813</v>
      </c>
      <c r="C10" s="79">
        <v>38416.79</v>
      </c>
      <c r="D10" s="79">
        <v>39814.442000000003</v>
      </c>
      <c r="E10" s="79">
        <v>40872.014000000003</v>
      </c>
      <c r="F10" s="88">
        <v>38673.828700000005</v>
      </c>
      <c r="G10" s="78">
        <v>34587.676100000004</v>
      </c>
      <c r="H10" s="78">
        <v>33969.432799999995</v>
      </c>
      <c r="I10" s="78">
        <v>34431.384000000005</v>
      </c>
      <c r="J10" s="78">
        <v>32500.807000000001</v>
      </c>
      <c r="K10" s="78">
        <v>33262.8554</v>
      </c>
      <c r="L10" s="78">
        <v>33504.330699999999</v>
      </c>
      <c r="M10" s="78">
        <v>36386.967594000002</v>
      </c>
      <c r="N10" s="78">
        <v>32869.738169999997</v>
      </c>
      <c r="O10" s="78">
        <v>33702.463700000008</v>
      </c>
      <c r="P10" s="78">
        <v>33009.074100000005</v>
      </c>
      <c r="Q10" s="78">
        <v>36150.081516999999</v>
      </c>
      <c r="R10" s="78">
        <v>36078.377099999998</v>
      </c>
      <c r="S10" s="78">
        <v>34917.6976</v>
      </c>
      <c r="T10" s="78">
        <v>46443.609599999996</v>
      </c>
      <c r="U10" s="78">
        <v>49760.625899999999</v>
      </c>
      <c r="V10" s="78">
        <v>45101.120000000003</v>
      </c>
      <c r="W10" s="78">
        <v>47214.75</v>
      </c>
      <c r="X10" s="78">
        <v>36074.43</v>
      </c>
    </row>
    <row r="11" spans="1:24" ht="29.45" customHeight="1" thickTop="1" thickBot="1">
      <c r="A11" s="80" t="s">
        <v>380</v>
      </c>
      <c r="B11" s="79">
        <v>1020</v>
      </c>
      <c r="C11" s="79">
        <v>1345.529</v>
      </c>
      <c r="D11" s="79">
        <v>1354.1655000000001</v>
      </c>
      <c r="E11" s="79">
        <v>1209.7800999999999</v>
      </c>
      <c r="F11" s="88">
        <v>1354.1655000000001</v>
      </c>
      <c r="G11" s="78">
        <v>1334.2953</v>
      </c>
      <c r="H11" s="78">
        <v>1334.1359</v>
      </c>
      <c r="I11" s="78">
        <v>1351.6342999999999</v>
      </c>
      <c r="J11" s="78">
        <v>1339.4158</v>
      </c>
      <c r="K11" s="78">
        <v>1326.4553000000001</v>
      </c>
      <c r="L11" s="78">
        <v>1329.9435000000001</v>
      </c>
      <c r="M11" s="78">
        <v>1294.8167000000001</v>
      </c>
      <c r="N11" s="78">
        <v>1341.3915999999999</v>
      </c>
      <c r="O11" s="78">
        <v>1528.7474</v>
      </c>
      <c r="P11" s="78">
        <v>1231.4331999999999</v>
      </c>
      <c r="Q11" s="78">
        <v>1081.7431999999999</v>
      </c>
      <c r="R11" s="78">
        <v>1257.3131000000001</v>
      </c>
      <c r="S11" s="78">
        <v>1228.8669</v>
      </c>
      <c r="T11" s="78">
        <v>1106.9938</v>
      </c>
      <c r="U11" s="78">
        <v>1121.6412</v>
      </c>
      <c r="V11" s="78">
        <v>1320.78</v>
      </c>
      <c r="W11" s="78">
        <v>1575.1</v>
      </c>
      <c r="X11" s="78">
        <v>1605.63</v>
      </c>
    </row>
    <row r="12" spans="1:24" ht="29.45" customHeight="1" thickTop="1" thickBot="1">
      <c r="A12" s="80" t="s">
        <v>460</v>
      </c>
      <c r="B12" s="79">
        <v>14253</v>
      </c>
      <c r="C12" s="79">
        <v>14371.9851</v>
      </c>
      <c r="D12" s="79">
        <v>14964.9928</v>
      </c>
      <c r="E12" s="79">
        <v>14333.4362</v>
      </c>
      <c r="F12" s="88">
        <v>14858.096299999999</v>
      </c>
      <c r="G12" s="78">
        <v>15572.5224</v>
      </c>
      <c r="H12" s="78">
        <v>16865.796200000001</v>
      </c>
      <c r="I12" s="78">
        <v>16285.8506</v>
      </c>
      <c r="J12" s="78">
        <v>15012.885399999999</v>
      </c>
      <c r="K12" s="78">
        <v>14908.6746</v>
      </c>
      <c r="L12" s="78">
        <v>15322.2547</v>
      </c>
      <c r="M12" s="78">
        <v>17819.410512999999</v>
      </c>
      <c r="N12" s="78">
        <v>15802.2755</v>
      </c>
      <c r="O12" s="78">
        <v>16259.145299999998</v>
      </c>
      <c r="P12" s="78">
        <v>17720.2153</v>
      </c>
      <c r="Q12" s="78">
        <v>19805.257900000001</v>
      </c>
      <c r="R12" s="78">
        <v>22914.795099999999</v>
      </c>
      <c r="S12" s="78">
        <v>25487.993241</v>
      </c>
      <c r="T12" s="78">
        <v>22638.759661</v>
      </c>
      <c r="U12" s="78">
        <v>21675.947</v>
      </c>
      <c r="V12" s="78">
        <v>20628.689999999999</v>
      </c>
      <c r="W12" s="78">
        <v>20187.89</v>
      </c>
      <c r="X12" s="78">
        <v>19979.3</v>
      </c>
    </row>
    <row r="13" spans="1:24" ht="29.45" customHeight="1" thickTop="1" thickBot="1">
      <c r="A13" s="80" t="s">
        <v>459</v>
      </c>
      <c r="B13" s="79">
        <v>1235</v>
      </c>
      <c r="C13" s="79">
        <v>1250.2973999999999</v>
      </c>
      <c r="D13" s="79">
        <v>1369.9618</v>
      </c>
      <c r="E13" s="79">
        <v>1277.2469000000001</v>
      </c>
      <c r="F13" s="88">
        <v>1247.0876000000001</v>
      </c>
      <c r="G13" s="78">
        <v>1127.711665</v>
      </c>
      <c r="H13" s="78">
        <v>1140.2713999999999</v>
      </c>
      <c r="I13" s="78">
        <v>1113.5825</v>
      </c>
      <c r="J13" s="78">
        <v>1064.2882</v>
      </c>
      <c r="K13" s="78">
        <v>1060.6179020000002</v>
      </c>
      <c r="L13" s="78">
        <v>1158.681875</v>
      </c>
      <c r="M13" s="78">
        <v>3373.0490419999996</v>
      </c>
      <c r="N13" s="78">
        <v>2077.184186</v>
      </c>
      <c r="O13" s="78">
        <v>2804.0422590000003</v>
      </c>
      <c r="P13" s="78">
        <v>2769.0028000000002</v>
      </c>
      <c r="Q13" s="78">
        <v>2567.2815000000001</v>
      </c>
      <c r="R13" s="78">
        <v>2599.9911999999999</v>
      </c>
      <c r="S13" s="78">
        <v>2407.6889000000001</v>
      </c>
      <c r="T13" s="78">
        <v>2289.1405260000001</v>
      </c>
      <c r="U13" s="78">
        <v>3886.7999</v>
      </c>
      <c r="V13" s="78">
        <v>4706.67</v>
      </c>
      <c r="W13" s="78">
        <v>4561.03</v>
      </c>
      <c r="X13" s="78">
        <v>4116.12</v>
      </c>
    </row>
    <row r="14" spans="1:24" ht="29.45" customHeight="1" thickTop="1" thickBot="1">
      <c r="A14" s="80" t="s">
        <v>381</v>
      </c>
      <c r="B14" s="79">
        <v>7785</v>
      </c>
      <c r="C14" s="79">
        <v>8052.0277999999998</v>
      </c>
      <c r="D14" s="79">
        <v>8230.5293000000001</v>
      </c>
      <c r="E14" s="79">
        <v>8867.7864000000009</v>
      </c>
      <c r="F14" s="88">
        <v>8101.9164090000004</v>
      </c>
      <c r="G14" s="78">
        <v>6914.3754953999996</v>
      </c>
      <c r="H14" s="78">
        <v>7388.7271000000001</v>
      </c>
      <c r="I14" s="78">
        <v>7182.2372639999994</v>
      </c>
      <c r="J14" s="78">
        <v>7194.7800930000003</v>
      </c>
      <c r="K14" s="78">
        <v>7751.5690970000005</v>
      </c>
      <c r="L14" s="78">
        <v>7389.9346229999992</v>
      </c>
      <c r="M14" s="78">
        <v>7949.3707060000006</v>
      </c>
      <c r="N14" s="78">
        <v>8071.6974140000011</v>
      </c>
      <c r="O14" s="78">
        <v>8279.5749140000007</v>
      </c>
      <c r="P14" s="78">
        <v>8368.2712449999999</v>
      </c>
      <c r="Q14" s="78">
        <v>8251.2814050000015</v>
      </c>
      <c r="R14" s="78">
        <v>9412.9518320000006</v>
      </c>
      <c r="S14" s="78">
        <v>10076.796556000001</v>
      </c>
      <c r="T14" s="78">
        <v>9779.5522090000013</v>
      </c>
      <c r="U14" s="78">
        <v>9333.3669700000009</v>
      </c>
      <c r="V14" s="78">
        <v>9741.4599999999991</v>
      </c>
      <c r="W14" s="78">
        <v>9603.5400000000009</v>
      </c>
      <c r="X14" s="78">
        <v>9351</v>
      </c>
    </row>
    <row r="15" spans="1:24" ht="29.45" customHeight="1" thickTop="1" thickBot="1">
      <c r="A15" s="80" t="s">
        <v>368</v>
      </c>
      <c r="B15" s="90">
        <v>2376</v>
      </c>
      <c r="C15" s="90">
        <v>2819.7781</v>
      </c>
      <c r="D15" s="90">
        <v>1530.6992</v>
      </c>
      <c r="E15" s="90">
        <v>1421.2001</v>
      </c>
      <c r="F15" s="91">
        <v>1530.6992</v>
      </c>
      <c r="G15" s="92">
        <v>1926.4875849999999</v>
      </c>
      <c r="H15" s="92">
        <v>1753.4940000000001</v>
      </c>
      <c r="I15" s="92">
        <v>1702.7867000000001</v>
      </c>
      <c r="J15" s="92">
        <v>1685.5228</v>
      </c>
      <c r="K15" s="92">
        <v>1692.6366</v>
      </c>
      <c r="L15" s="92">
        <v>1577.3463789999998</v>
      </c>
      <c r="M15" s="92">
        <v>1361.3213149999999</v>
      </c>
      <c r="N15" s="92">
        <v>951.14429999999993</v>
      </c>
      <c r="O15" s="92">
        <v>1349.8902</v>
      </c>
      <c r="P15" s="78">
        <v>1926.0139000000001</v>
      </c>
      <c r="Q15" s="78">
        <v>1753.9216000000001</v>
      </c>
      <c r="R15" s="78">
        <v>1782.289636</v>
      </c>
      <c r="S15" s="78">
        <v>1783.6072220000001</v>
      </c>
      <c r="T15" s="78">
        <v>1725.2975219999998</v>
      </c>
      <c r="U15" s="78">
        <v>1711.6764000000003</v>
      </c>
      <c r="V15" s="78">
        <v>1697.19</v>
      </c>
      <c r="W15" s="78">
        <v>1843.85</v>
      </c>
      <c r="X15" s="78">
        <v>1863.51</v>
      </c>
    </row>
    <row r="16" spans="1:24" ht="29.45" customHeight="1" thickTop="1" thickBot="1">
      <c r="A16" s="93" t="s">
        <v>369</v>
      </c>
      <c r="B16" s="78">
        <v>4917</v>
      </c>
      <c r="C16" s="78">
        <v>5625.6859000000004</v>
      </c>
      <c r="D16" s="78">
        <v>4894.0559999999996</v>
      </c>
      <c r="E16" s="78">
        <v>8837.3703999999998</v>
      </c>
      <c r="F16" s="78">
        <v>6955.5936000000002</v>
      </c>
      <c r="G16" s="78">
        <v>7775.0464000000002</v>
      </c>
      <c r="H16" s="78">
        <v>8257.2891</v>
      </c>
      <c r="I16" s="78">
        <v>8978.5510379999996</v>
      </c>
      <c r="J16" s="78">
        <v>9490.7019</v>
      </c>
      <c r="K16" s="78">
        <v>9203.6461999999992</v>
      </c>
      <c r="L16" s="78">
        <v>9433.588076</v>
      </c>
      <c r="M16" s="78">
        <v>10525.805310000002</v>
      </c>
      <c r="N16" s="78">
        <v>11622.0934</v>
      </c>
      <c r="O16" s="78">
        <v>11974.3506</v>
      </c>
      <c r="P16" s="78">
        <v>12123.7762</v>
      </c>
      <c r="Q16" s="78">
        <v>11505.7248</v>
      </c>
      <c r="R16" s="78">
        <v>11821.300000000001</v>
      </c>
      <c r="S16" s="78">
        <v>12433.470600000001</v>
      </c>
      <c r="T16" s="78">
        <v>13242.2125</v>
      </c>
      <c r="U16" s="78">
        <v>13477.1819</v>
      </c>
      <c r="V16" s="78">
        <v>13393.36</v>
      </c>
      <c r="W16" s="78">
        <v>14602.67</v>
      </c>
      <c r="X16" s="78">
        <v>14949.07</v>
      </c>
    </row>
    <row r="17" spans="1:24" ht="29.45" customHeight="1" thickTop="1" thickBot="1">
      <c r="A17" s="93" t="s">
        <v>382</v>
      </c>
      <c r="B17" s="78">
        <v>7764</v>
      </c>
      <c r="C17" s="78">
        <v>7897.6666999999998</v>
      </c>
      <c r="D17" s="78">
        <v>6099.2526999999991</v>
      </c>
      <c r="E17" s="78">
        <v>5890.4841000000006</v>
      </c>
      <c r="F17" s="78">
        <v>6093.8868999999995</v>
      </c>
      <c r="G17" s="78">
        <v>6137.0414999999994</v>
      </c>
      <c r="H17" s="78">
        <v>5972.9798999999994</v>
      </c>
      <c r="I17" s="78">
        <v>5278.1387999999997</v>
      </c>
      <c r="J17" s="78">
        <v>5209.1988150000006</v>
      </c>
      <c r="K17" s="78">
        <v>5561.219000000001</v>
      </c>
      <c r="L17" s="78">
        <v>5923.2905329999994</v>
      </c>
      <c r="M17" s="78">
        <v>4792.6591030000009</v>
      </c>
      <c r="N17" s="78">
        <v>5376.9924000000001</v>
      </c>
      <c r="O17" s="78">
        <v>5487.0949999999993</v>
      </c>
      <c r="P17" s="78">
        <v>5788.2666000000008</v>
      </c>
      <c r="Q17" s="78">
        <v>6709.0404999999992</v>
      </c>
      <c r="R17" s="78">
        <v>6985.8391999999985</v>
      </c>
      <c r="S17" s="78">
        <v>7123.4204</v>
      </c>
      <c r="T17" s="78">
        <v>7111.5389000000014</v>
      </c>
      <c r="U17" s="78">
        <v>6730.2278000000006</v>
      </c>
      <c r="V17" s="78">
        <v>5057.42</v>
      </c>
      <c r="W17" s="78">
        <v>6010.88</v>
      </c>
      <c r="X17" s="78">
        <v>6051.38</v>
      </c>
    </row>
    <row r="18" spans="1:24" ht="29.45" customHeight="1" thickTop="1" thickBot="1">
      <c r="A18" s="93" t="s">
        <v>371</v>
      </c>
      <c r="B18" s="78">
        <v>1941</v>
      </c>
      <c r="C18" s="78">
        <v>2261.8273000000004</v>
      </c>
      <c r="D18" s="78">
        <v>2223.7040000000002</v>
      </c>
      <c r="E18" s="78">
        <v>1950.6914999999999</v>
      </c>
      <c r="F18" s="78">
        <v>2026.8710000000001</v>
      </c>
      <c r="G18" s="78">
        <v>1678.468858</v>
      </c>
      <c r="H18" s="78">
        <v>1589.8745000000001</v>
      </c>
      <c r="I18" s="78">
        <v>1396.6893</v>
      </c>
      <c r="J18" s="78">
        <v>1073.2417</v>
      </c>
      <c r="K18" s="78">
        <v>1032.1884000000002</v>
      </c>
      <c r="L18" s="78">
        <v>1034.2805170000001</v>
      </c>
      <c r="M18" s="78">
        <v>511.11533599999996</v>
      </c>
      <c r="N18" s="78">
        <v>1235.9781</v>
      </c>
      <c r="O18" s="78">
        <v>1181.8390999999999</v>
      </c>
      <c r="P18" s="78">
        <v>1208.5043000000001</v>
      </c>
      <c r="Q18" s="78">
        <v>1665.7796999999998</v>
      </c>
      <c r="R18" s="78">
        <v>1736.1708999999998</v>
      </c>
      <c r="S18" s="78">
        <v>1725.8594999999998</v>
      </c>
      <c r="T18" s="78">
        <v>1712.6717999999998</v>
      </c>
      <c r="U18" s="78">
        <v>1767.7153000000001</v>
      </c>
      <c r="V18" s="78">
        <v>1804.89</v>
      </c>
      <c r="W18" s="78">
        <v>1764.46</v>
      </c>
      <c r="X18" s="78">
        <v>1871.65</v>
      </c>
    </row>
    <row r="19" spans="1:24" ht="29.45" customHeight="1" thickTop="1" thickBot="1">
      <c r="A19" s="93" t="s">
        <v>372</v>
      </c>
      <c r="B19" s="78">
        <v>65687</v>
      </c>
      <c r="C19" s="78">
        <v>64773.858999999997</v>
      </c>
      <c r="D19" s="78">
        <v>65572.272600000011</v>
      </c>
      <c r="E19" s="78">
        <v>240006.95450000002</v>
      </c>
      <c r="F19" s="78">
        <v>250821.2726</v>
      </c>
      <c r="G19" s="78">
        <v>555014.83510000003</v>
      </c>
      <c r="H19" s="78">
        <v>473369.92270000005</v>
      </c>
      <c r="I19" s="78">
        <v>602729.19750000001</v>
      </c>
      <c r="J19" s="78">
        <v>605540.65560000006</v>
      </c>
      <c r="K19" s="78">
        <v>606028.3298999999</v>
      </c>
      <c r="L19" s="78">
        <v>601895.20240000007</v>
      </c>
      <c r="M19" s="78">
        <v>573990.37529999996</v>
      </c>
      <c r="N19" s="78">
        <v>544893.85490000003</v>
      </c>
      <c r="O19" s="78">
        <v>451472.88820000004</v>
      </c>
      <c r="P19" s="78">
        <v>440879.64029999997</v>
      </c>
      <c r="Q19" s="78">
        <v>446008.72280000005</v>
      </c>
      <c r="R19" s="78">
        <v>399883.84550000005</v>
      </c>
      <c r="S19" s="78">
        <v>339351.45510000002</v>
      </c>
      <c r="T19" s="78">
        <v>339790.24809999997</v>
      </c>
      <c r="U19" s="78">
        <v>355645.40270000004</v>
      </c>
      <c r="V19" s="78">
        <v>359973.85</v>
      </c>
      <c r="W19" s="78">
        <v>346848.34</v>
      </c>
      <c r="X19" s="78">
        <v>366995.96</v>
      </c>
    </row>
    <row r="20" spans="1:24" ht="29.45" customHeight="1" thickTop="1" thickBot="1">
      <c r="A20" s="93" t="s">
        <v>373</v>
      </c>
      <c r="B20" s="78">
        <v>160090</v>
      </c>
      <c r="C20" s="78">
        <v>161879.45700000002</v>
      </c>
      <c r="D20" s="78">
        <v>158756.83380000002</v>
      </c>
      <c r="E20" s="78">
        <v>159891.88649999999</v>
      </c>
      <c r="F20" s="78">
        <v>158756.83380000002</v>
      </c>
      <c r="G20" s="78">
        <v>164044.48389999999</v>
      </c>
      <c r="H20" s="78">
        <v>168118.50390000001</v>
      </c>
      <c r="I20" s="78">
        <v>114018.1455</v>
      </c>
      <c r="J20" s="78">
        <v>111912.61109999999</v>
      </c>
      <c r="K20" s="78">
        <v>115673.5836</v>
      </c>
      <c r="L20" s="78">
        <v>109793.338091</v>
      </c>
      <c r="M20" s="78">
        <v>133288.80899799999</v>
      </c>
      <c r="N20" s="78">
        <v>130348.5065</v>
      </c>
      <c r="O20" s="78">
        <v>133524.3131</v>
      </c>
      <c r="P20" s="78">
        <v>127874.1523</v>
      </c>
      <c r="Q20" s="78">
        <v>135800.37789999999</v>
      </c>
      <c r="R20" s="78">
        <v>308423.13380000001</v>
      </c>
      <c r="S20" s="78">
        <v>316813.46959999995</v>
      </c>
      <c r="T20" s="78">
        <v>321415.91590000002</v>
      </c>
      <c r="U20" s="78">
        <v>147048.81969999999</v>
      </c>
      <c r="V20" s="78">
        <v>160963.51999999999</v>
      </c>
      <c r="W20" s="78">
        <v>171291.74</v>
      </c>
      <c r="X20" s="78">
        <v>180776.76</v>
      </c>
    </row>
    <row r="21" spans="1:24" ht="29.45" customHeight="1" thickTop="1" thickBot="1">
      <c r="A21" s="93" t="s">
        <v>374</v>
      </c>
      <c r="B21" s="78">
        <v>190573</v>
      </c>
      <c r="C21" s="78">
        <v>181301.86610000007</v>
      </c>
      <c r="D21" s="78">
        <v>171728.4688</v>
      </c>
      <c r="E21" s="78">
        <v>164425.83430000008</v>
      </c>
      <c r="F21" s="78">
        <v>167655.64080000002</v>
      </c>
      <c r="G21" s="78">
        <v>148880.06929000004</v>
      </c>
      <c r="H21" s="78">
        <v>152258.57820000008</v>
      </c>
      <c r="I21" s="78">
        <v>145034.08919500001</v>
      </c>
      <c r="J21" s="78">
        <v>141174.71719999996</v>
      </c>
      <c r="K21" s="78">
        <v>137996.4172</v>
      </c>
      <c r="L21" s="78">
        <v>133597.77297500003</v>
      </c>
      <c r="M21" s="78">
        <v>127632.92480400001</v>
      </c>
      <c r="N21" s="78">
        <v>126728.3723</v>
      </c>
      <c r="O21" s="78">
        <v>122874.86379999998</v>
      </c>
      <c r="P21" s="78">
        <v>121941.63499999999</v>
      </c>
      <c r="Q21" s="78">
        <v>118195.8205</v>
      </c>
      <c r="R21" s="78">
        <v>117395.39049999999</v>
      </c>
      <c r="S21" s="78">
        <v>114150.84639999998</v>
      </c>
      <c r="T21" s="78">
        <v>116429.27390000003</v>
      </c>
      <c r="U21" s="78">
        <v>116126.70460000003</v>
      </c>
      <c r="V21" s="78">
        <v>112696.58</v>
      </c>
      <c r="W21" s="78">
        <v>114257.33</v>
      </c>
      <c r="X21" s="78">
        <v>114365.93</v>
      </c>
    </row>
    <row r="22" spans="1:24" ht="29.45" customHeight="1" thickTop="1" thickBot="1">
      <c r="A22" s="93" t="s">
        <v>375</v>
      </c>
      <c r="B22" s="78">
        <v>3006</v>
      </c>
      <c r="C22" s="78">
        <v>3217.1113000000005</v>
      </c>
      <c r="D22" s="78">
        <v>2124.2548000000002</v>
      </c>
      <c r="E22" s="78">
        <v>2342.6337000000003</v>
      </c>
      <c r="F22" s="78">
        <v>1922.9128000000001</v>
      </c>
      <c r="G22" s="78">
        <v>2165.2856999999999</v>
      </c>
      <c r="H22" s="78">
        <v>2815.1445000000003</v>
      </c>
      <c r="I22" s="78">
        <v>3062.0326</v>
      </c>
      <c r="J22" s="78">
        <v>4369.7687000000005</v>
      </c>
      <c r="K22" s="78">
        <v>4697.1023999999998</v>
      </c>
      <c r="L22" s="78">
        <v>5074.1904170000007</v>
      </c>
      <c r="M22" s="78">
        <v>4751.8297199999997</v>
      </c>
      <c r="N22" s="78">
        <v>4681.1143000000002</v>
      </c>
      <c r="O22" s="78">
        <v>4858.1206000000002</v>
      </c>
      <c r="P22" s="78">
        <v>4834.4974000000002</v>
      </c>
      <c r="Q22" s="78">
        <v>5033.3753000000006</v>
      </c>
      <c r="R22" s="78">
        <v>4330.2260999999999</v>
      </c>
      <c r="S22" s="78">
        <v>4730.0617000000002</v>
      </c>
      <c r="T22" s="78">
        <v>5764.8167999999996</v>
      </c>
      <c r="U22" s="78">
        <v>8117.7142000000003</v>
      </c>
      <c r="V22" s="78">
        <v>8377.5</v>
      </c>
      <c r="W22" s="78">
        <v>8401.23</v>
      </c>
      <c r="X22" s="78">
        <v>9262.81</v>
      </c>
    </row>
    <row r="23" spans="1:24" ht="29.45" customHeight="1" thickTop="1" thickBot="1">
      <c r="A23" s="93" t="s">
        <v>376</v>
      </c>
      <c r="B23" s="78">
        <v>29914</v>
      </c>
      <c r="C23" s="78">
        <v>29895.904900000001</v>
      </c>
      <c r="D23" s="78">
        <v>29367.366300000002</v>
      </c>
      <c r="E23" s="78">
        <v>28119.078399999999</v>
      </c>
      <c r="F23" s="78">
        <v>29214.526300000001</v>
      </c>
      <c r="G23" s="78">
        <v>27083.516200000002</v>
      </c>
      <c r="H23" s="78">
        <v>26636.735100000002</v>
      </c>
      <c r="I23" s="78">
        <v>24866.044199999997</v>
      </c>
      <c r="J23" s="78">
        <v>25068.170147000001</v>
      </c>
      <c r="K23" s="78">
        <v>25386.490100000003</v>
      </c>
      <c r="L23" s="78">
        <v>24870.198065999994</v>
      </c>
      <c r="M23" s="78">
        <v>25175.5504</v>
      </c>
      <c r="N23" s="78">
        <v>25629.347099999999</v>
      </c>
      <c r="O23" s="78">
        <v>27130.542200000004</v>
      </c>
      <c r="P23" s="78">
        <v>26551.339399999993</v>
      </c>
      <c r="Q23" s="78">
        <v>24877.625200000006</v>
      </c>
      <c r="R23" s="78">
        <v>26771.510999999999</v>
      </c>
      <c r="S23" s="78">
        <v>28200.637799999997</v>
      </c>
      <c r="T23" s="78">
        <v>31130.979199999994</v>
      </c>
      <c r="U23" s="78">
        <v>28763.334800000001</v>
      </c>
      <c r="V23" s="78">
        <v>27195.64</v>
      </c>
      <c r="W23" s="78">
        <v>27738.43</v>
      </c>
      <c r="X23" s="78">
        <v>24774.639999999999</v>
      </c>
    </row>
    <row r="24" spans="1:24" ht="29.45" customHeight="1" thickTop="1" thickBot="1">
      <c r="A24" s="93" t="s">
        <v>461</v>
      </c>
      <c r="B24" s="78">
        <v>4999</v>
      </c>
      <c r="C24" s="78">
        <v>4892.3483999999999</v>
      </c>
      <c r="D24" s="78">
        <v>2820.5933</v>
      </c>
      <c r="E24" s="78">
        <v>2656.5056999999997</v>
      </c>
      <c r="F24" s="78">
        <v>2787.9076</v>
      </c>
      <c r="G24" s="78">
        <v>2435.4737859999996</v>
      </c>
      <c r="H24" s="78">
        <v>2808.7561999999998</v>
      </c>
      <c r="I24" s="78">
        <v>5081.2706639999997</v>
      </c>
      <c r="J24" s="78">
        <v>5278.3170200000004</v>
      </c>
      <c r="K24" s="78">
        <v>5300.0030999999999</v>
      </c>
      <c r="L24" s="78">
        <v>5285.4415709999994</v>
      </c>
      <c r="M24" s="78">
        <v>5141.3254400000005</v>
      </c>
      <c r="N24" s="78">
        <v>8594.5532900000017</v>
      </c>
      <c r="O24" s="78">
        <v>9324.3686789999992</v>
      </c>
      <c r="P24" s="78">
        <v>9694.6628000000001</v>
      </c>
      <c r="Q24" s="78">
        <v>9259.5946999999996</v>
      </c>
      <c r="R24" s="78">
        <v>9343.3045000000002</v>
      </c>
      <c r="S24" s="78">
        <v>9236.9484000000011</v>
      </c>
      <c r="T24" s="78">
        <v>9102.3852999999999</v>
      </c>
      <c r="U24" s="78">
        <v>9159.3894</v>
      </c>
      <c r="V24" s="78">
        <v>8998.39</v>
      </c>
      <c r="W24" s="78">
        <v>9455.27</v>
      </c>
      <c r="X24" s="78">
        <v>10117.59</v>
      </c>
    </row>
    <row r="25" spans="1:24" ht="29.45" customHeight="1" thickTop="1" thickBot="1">
      <c r="A25" s="93" t="s">
        <v>462</v>
      </c>
      <c r="B25" s="78">
        <v>6806.4795000000004</v>
      </c>
      <c r="C25" s="78">
        <v>11143.478499999999</v>
      </c>
      <c r="D25" s="78">
        <v>11908.6116</v>
      </c>
      <c r="E25" s="78">
        <v>12416.9663</v>
      </c>
      <c r="F25" s="78">
        <v>11050.494500000001</v>
      </c>
      <c r="G25" s="78">
        <v>11555.093041</v>
      </c>
      <c r="H25" s="78">
        <v>11620.5337</v>
      </c>
      <c r="I25" s="78">
        <v>11591.807763000001</v>
      </c>
      <c r="J25" s="78">
        <v>12145.303872</v>
      </c>
      <c r="K25" s="78">
        <v>12043.258598</v>
      </c>
      <c r="L25" s="78">
        <v>11898.467686</v>
      </c>
      <c r="M25" s="78">
        <v>11640.401001</v>
      </c>
      <c r="N25" s="78">
        <v>11954.477791000001</v>
      </c>
      <c r="O25" s="78">
        <v>13524.577407000001</v>
      </c>
      <c r="P25" s="78">
        <v>13927.697913</v>
      </c>
      <c r="Q25" s="78">
        <v>14179.330080000002</v>
      </c>
      <c r="R25" s="78">
        <v>13427.689200000001</v>
      </c>
      <c r="S25" s="78">
        <v>12584.012349000001</v>
      </c>
      <c r="T25" s="78">
        <v>12197.701042000001</v>
      </c>
      <c r="U25" s="78">
        <v>12123.294280999999</v>
      </c>
      <c r="V25" s="78">
        <v>11854.55</v>
      </c>
      <c r="W25" s="78">
        <v>11753.2</v>
      </c>
      <c r="X25" s="78">
        <v>11439.64</v>
      </c>
    </row>
    <row r="26" spans="1:24" ht="29.45" customHeight="1" thickTop="1" thickBot="1">
      <c r="A26" s="93" t="s">
        <v>377</v>
      </c>
      <c r="B26" s="78">
        <v>137214</v>
      </c>
      <c r="C26" s="78">
        <v>142659.21600000001</v>
      </c>
      <c r="D26" s="78">
        <v>154150.34799999997</v>
      </c>
      <c r="E26" s="78">
        <v>155822.53700000001</v>
      </c>
      <c r="F26" s="78">
        <v>199386</v>
      </c>
      <c r="G26" s="78">
        <v>258459.39199999999</v>
      </c>
      <c r="H26" s="78">
        <v>255984.62300000002</v>
      </c>
      <c r="I26" s="78">
        <v>271536.01999999996</v>
      </c>
      <c r="J26" s="78">
        <f>240300.272439+29278.233</f>
        <v>269578.50543899997</v>
      </c>
      <c r="K26" s="78">
        <v>274479.96500000003</v>
      </c>
      <c r="L26" s="78">
        <v>291702.24</v>
      </c>
      <c r="M26" s="78">
        <v>318491.19500000001</v>
      </c>
      <c r="N26" s="78">
        <v>319405.74369999999</v>
      </c>
      <c r="O26" s="78">
        <v>397702.19550000003</v>
      </c>
      <c r="P26" s="78">
        <v>414718.08280000003</v>
      </c>
      <c r="Q26" s="78">
        <v>426653.60489999998</v>
      </c>
      <c r="R26" s="78">
        <v>415888.31599999999</v>
      </c>
      <c r="S26" s="78">
        <v>443138.54499999993</v>
      </c>
      <c r="T26" s="78">
        <v>479597.39600000007</v>
      </c>
      <c r="U26" s="78">
        <v>523179.95499999996</v>
      </c>
      <c r="V26" s="78">
        <v>487066.95</v>
      </c>
      <c r="W26" s="78">
        <v>526576.39</v>
      </c>
      <c r="X26" s="78">
        <v>624771.17000000004</v>
      </c>
    </row>
    <row r="27" spans="1:24" ht="29.45" customHeight="1" thickTop="1" thickBot="1">
      <c r="A27" s="93" t="s">
        <v>378</v>
      </c>
      <c r="B27" s="78" t="s">
        <v>6</v>
      </c>
      <c r="C27" s="78" t="s">
        <v>6</v>
      </c>
      <c r="D27" s="78" t="s">
        <v>6</v>
      </c>
      <c r="E27" s="78" t="s">
        <v>6</v>
      </c>
      <c r="F27" s="78" t="s">
        <v>6</v>
      </c>
      <c r="G27" s="78" t="s">
        <v>6</v>
      </c>
      <c r="H27" s="78" t="s">
        <v>6</v>
      </c>
      <c r="I27" s="78" t="s">
        <v>6</v>
      </c>
      <c r="J27" s="78" t="s">
        <v>6</v>
      </c>
      <c r="K27" s="78" t="s">
        <v>6</v>
      </c>
      <c r="L27" s="78" t="s">
        <v>6</v>
      </c>
      <c r="M27" s="78" t="s">
        <v>6</v>
      </c>
      <c r="N27" s="78" t="s">
        <v>6</v>
      </c>
      <c r="O27" s="78" t="s">
        <v>6</v>
      </c>
      <c r="P27" s="78" t="s">
        <v>6</v>
      </c>
      <c r="Q27" s="78" t="s">
        <v>6</v>
      </c>
      <c r="R27" s="78" t="s">
        <v>6</v>
      </c>
      <c r="S27" s="78" t="s">
        <v>6</v>
      </c>
      <c r="T27" s="78" t="s">
        <v>6</v>
      </c>
      <c r="U27" s="78" t="s">
        <v>6</v>
      </c>
      <c r="V27" s="78" t="s">
        <v>6</v>
      </c>
      <c r="W27" s="78" t="s">
        <v>6</v>
      </c>
      <c r="X27" s="78" t="s">
        <v>6</v>
      </c>
    </row>
    <row r="28" spans="1:24" ht="29.45" customHeight="1" thickTop="1" thickBot="1">
      <c r="A28" s="93" t="s">
        <v>379</v>
      </c>
      <c r="B28" s="89" t="s">
        <v>6</v>
      </c>
      <c r="C28" s="78">
        <v>286.553</v>
      </c>
      <c r="D28" s="78">
        <v>283.07159999999999</v>
      </c>
      <c r="E28" s="78">
        <v>220.2431</v>
      </c>
      <c r="F28" s="78">
        <v>283.07159999999999</v>
      </c>
      <c r="G28" s="78">
        <v>413.51625899999999</v>
      </c>
      <c r="H28" s="78">
        <v>453.80739999999997</v>
      </c>
      <c r="I28" s="78">
        <v>372.8596</v>
      </c>
      <c r="J28" s="78">
        <v>396.02699999999999</v>
      </c>
      <c r="K28" s="78">
        <v>378.26710000000003</v>
      </c>
      <c r="L28" s="78">
        <v>520.10495300000002</v>
      </c>
      <c r="M28" s="78">
        <v>402.49199699999997</v>
      </c>
      <c r="N28" s="78">
        <v>593.0883</v>
      </c>
      <c r="O28" s="78">
        <v>1037.5164</v>
      </c>
      <c r="P28" s="92">
        <v>1098.1666</v>
      </c>
      <c r="Q28" s="92">
        <v>1353.6649</v>
      </c>
      <c r="R28" s="92">
        <v>1516.7918</v>
      </c>
      <c r="S28" s="92">
        <v>1716.6496</v>
      </c>
      <c r="T28" s="92">
        <v>1900.9113</v>
      </c>
      <c r="U28" s="92">
        <v>1953.6984</v>
      </c>
      <c r="V28" s="92">
        <v>2438.61</v>
      </c>
      <c r="W28" s="92">
        <v>2663.34</v>
      </c>
      <c r="X28" s="92">
        <v>2790.06</v>
      </c>
    </row>
    <row r="29" spans="1:24" ht="15.75" thickTop="1">
      <c r="O29" s="40"/>
      <c r="P29" s="40"/>
    </row>
    <row r="30" spans="1:24">
      <c r="A30" s="146" t="s">
        <v>28</v>
      </c>
      <c r="B30" s="125"/>
      <c r="C30" s="125"/>
      <c r="T30" s="26" t="s">
        <v>61</v>
      </c>
    </row>
    <row r="31" spans="1:24">
      <c r="A31" s="23" t="s">
        <v>59</v>
      </c>
      <c r="B31" s="47"/>
      <c r="C31" s="47"/>
      <c r="T31" s="51" t="s">
        <v>62</v>
      </c>
    </row>
    <row r="33" spans="4:13">
      <c r="F33" s="40"/>
      <c r="G33" s="40"/>
    </row>
    <row r="34" spans="4:13">
      <c r="F34" s="40"/>
      <c r="G34" s="40"/>
      <c r="H34" s="40"/>
      <c r="I34" s="40"/>
      <c r="K34" s="40"/>
      <c r="L34" s="40"/>
      <c r="M34" s="40"/>
    </row>
    <row r="35" spans="4:13">
      <c r="F35" s="40"/>
      <c r="G35" s="40"/>
      <c r="H35" s="40"/>
      <c r="I35" s="40"/>
      <c r="K35" s="40"/>
      <c r="L35" s="40"/>
      <c r="M35" s="40"/>
    </row>
    <row r="36" spans="4:13">
      <c r="F36" s="40"/>
      <c r="G36" s="40"/>
      <c r="H36" s="40"/>
      <c r="I36" s="40"/>
      <c r="K36" s="40"/>
      <c r="L36" s="40"/>
      <c r="M36" s="40"/>
    </row>
    <row r="37" spans="4:13">
      <c r="F37" s="40"/>
      <c r="G37" s="40"/>
      <c r="H37" s="40"/>
      <c r="I37" s="40"/>
      <c r="K37" s="40"/>
      <c r="L37" s="40"/>
      <c r="M37" s="40"/>
    </row>
    <row r="39" spans="4:13">
      <c r="F39" s="40"/>
      <c r="G39" s="40"/>
      <c r="H39" s="40"/>
      <c r="I39" s="40"/>
      <c r="K39" s="40"/>
      <c r="L39" s="40"/>
      <c r="M39" s="40"/>
    </row>
    <row r="40" spans="4:13">
      <c r="D40" s="40"/>
      <c r="E40" s="40"/>
      <c r="F40" s="40"/>
      <c r="G40" s="40"/>
      <c r="H40" s="40"/>
      <c r="I40" s="40"/>
      <c r="K40" s="40"/>
    </row>
    <row r="57" spans="10:10">
      <c r="J57" s="26" t="str">
        <f t="shared" ref="J57:J60" si="0">A33&amp;" "&amp;B33&amp;" "&amp;C33</f>
        <v xml:space="preserve">  </v>
      </c>
    </row>
    <row r="58" spans="10:10">
      <c r="J58" s="26" t="str">
        <f t="shared" si="0"/>
        <v xml:space="preserve">  </v>
      </c>
    </row>
    <row r="59" spans="10:10">
      <c r="J59" s="26" t="str">
        <f t="shared" si="0"/>
        <v xml:space="preserve">  </v>
      </c>
    </row>
    <row r="60" spans="10:10">
      <c r="J60" s="26" t="str">
        <f t="shared" si="0"/>
        <v xml:space="preserve">  </v>
      </c>
    </row>
  </sheetData>
  <sortState xmlns:xlrd2="http://schemas.microsoft.com/office/spreadsheetml/2017/richdata2" ref="Y10:Y28">
    <sortCondition ref="Y10"/>
  </sortState>
  <mergeCells count="1">
    <mergeCell ref="C5:G5"/>
  </mergeCells>
  <pageMargins left="0.7" right="0.7" top="0.75" bottom="0.75" header="0.3" footer="0.3"/>
  <pageSetup paperSize="9" orientation="portrait" r:id="rId1"/>
  <headerFooter>
    <oddFooter>&amp;C&amp;"Calibri"&amp;11&amp;K000000&amp;"Calibri"&amp;11&amp;K000000&amp;"Calibri"&amp;11&amp;K000000&amp;10&amp;K663300Classification: &amp;K000000 Internal  داخلي_x000D_&amp;1#&amp;"Calibri"&amp;10&amp;K000000Internal - داخلي</oddFooter>
    <evenFooter>&amp;C&amp;10&amp;K663300Classification: &amp;K000000 Internal  داخلي</evenFooter>
    <firstFooter>&amp;C&amp;10&amp;K663300Classification: &amp;K000000 Internal  داخلي</first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C6AF0365FB64468091EDE2EC47460E" ma:contentTypeVersion="2" ma:contentTypeDescription="Create a new document." ma:contentTypeScope="" ma:versionID="4c4b603ce69b6799cc11799a2ff7bfa1">
  <xsd:schema xmlns:xsd="http://www.w3.org/2001/XMLSchema" xmlns:xs="http://www.w3.org/2001/XMLSchema" xmlns:p="http://schemas.microsoft.com/office/2006/metadata/properties" xmlns:ns2="580b2b45-27d1-4d7b-b3d0-9b26fdc6feb3" targetNamespace="http://schemas.microsoft.com/office/2006/metadata/properties" ma:root="true" ma:fieldsID="78a73ad6bf451400d31f094da5fa2c0c" ns2:_="">
    <xsd:import namespace="580b2b45-27d1-4d7b-b3d0-9b26fdc6feb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0b2b45-27d1-4d7b-b3d0-9b26fdc6feb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E2C4835-7AEB-4EC4-A0A2-D8F365FE6F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0b2b45-27d1-4d7b-b3d0-9b26fdc6fe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2335AB-2470-49C8-8165-8FD472657F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3335F8-69B7-440D-A831-FAA62C00A84A}">
  <ds:schemaRefs>
    <ds:schemaRef ds:uri="http://purl.org/dc/dcmitype/"/>
    <ds:schemaRef ds:uri="http://purl.org/dc/elements/1.1/"/>
    <ds:schemaRef ds:uri="http://schemas.microsoft.com/office/2006/documentManagement/types"/>
    <ds:schemaRef ds:uri="580b2b45-27d1-4d7b-b3d0-9b26fdc6feb3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الأسهم</vt:lpstr>
      <vt:lpstr>مؤشرات سوق الأسهم الرئيسية</vt:lpstr>
      <vt:lpstr>مؤشرات سوق الأسهم - نمو</vt:lpstr>
      <vt:lpstr>المؤشرات المالية لسوق الأسهم</vt:lpstr>
      <vt:lpstr>إجمالي الإيرادات - تاسي</vt:lpstr>
      <vt:lpstr>صافي الدخل - تاسي</vt:lpstr>
      <vt:lpstr>حقوق المساهمين - تاسي</vt:lpstr>
      <vt:lpstr>إجمالي الأصول - تاسي</vt:lpstr>
      <vt:lpstr>اجمالي الدين - تاسي</vt:lpstr>
      <vt:lpstr> إجمالي الإيرادات - نمو</vt:lpstr>
      <vt:lpstr>صافي الدخل - نمو</vt:lpstr>
      <vt:lpstr>إجمالي حقوق المساهمين - نمو</vt:lpstr>
      <vt:lpstr>إجمالي الأصول - نمو</vt:lpstr>
      <vt:lpstr>إجمالي الدين - نمو</vt:lpstr>
      <vt:lpstr> عدد محافظ الأفراد - تاسي</vt:lpstr>
      <vt:lpstr> قيم ونسب الملكية - تاسي</vt:lpstr>
      <vt:lpstr>قيم ونسب الملكية حسب السلوك</vt:lpstr>
      <vt:lpstr>قيم ونسب التداولات - تاسي</vt:lpstr>
      <vt:lpstr>قيم ونسب التداولات حسب السلوك</vt:lpstr>
      <vt:lpstr>التداولات خارج المنصة</vt:lpstr>
    </vt:vector>
  </TitlesOfParts>
  <Company>CMA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Razan Hassan Al-Zuhair</dc:creator>
  <cp:lastModifiedBy>Alanoud Hamad Alsheikh</cp:lastModifiedBy>
  <dcterms:created xsi:type="dcterms:W3CDTF">2015-12-24T06:24:30Z</dcterms:created>
  <dcterms:modified xsi:type="dcterms:W3CDTF">2026-03-04T12:33:44Z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defdc546-0ad7-43fe-af30-79a84a273fe5</vt:lpwstr>
  </property>
  <property fmtid="{D5CDD505-2E9C-101B-9397-08002B2CF9AE}" pid="3" name="SecondaryClassification">
    <vt:lpwstr>CMA-Internal</vt:lpwstr>
  </property>
  <property fmtid="{D5CDD505-2E9C-101B-9397-08002B2CF9AE}" pid="4" name="ContentTypeId">
    <vt:lpwstr>0x01010008C6AF0365FB64468091EDE2EC47460E</vt:lpwstr>
  </property>
  <property fmtid="{D5CDD505-2E9C-101B-9397-08002B2CF9AE}" pid="5" name="MSIP_Label_eb3112aa-d19c-4cb5-800f-a8704190099d_Enabled">
    <vt:lpwstr>true</vt:lpwstr>
  </property>
  <property fmtid="{D5CDD505-2E9C-101B-9397-08002B2CF9AE}" pid="6" name="MSIP_Label_eb3112aa-d19c-4cb5-800f-a8704190099d_SetDate">
    <vt:lpwstr>2026-03-04T12:33:22Z</vt:lpwstr>
  </property>
  <property fmtid="{D5CDD505-2E9C-101B-9397-08002B2CF9AE}" pid="7" name="MSIP_Label_eb3112aa-d19c-4cb5-800f-a8704190099d_Method">
    <vt:lpwstr>Standard</vt:lpwstr>
  </property>
  <property fmtid="{D5CDD505-2E9C-101B-9397-08002B2CF9AE}" pid="8" name="MSIP_Label_eb3112aa-d19c-4cb5-800f-a8704190099d_Name">
    <vt:lpwstr>Internal</vt:lpwstr>
  </property>
  <property fmtid="{D5CDD505-2E9C-101B-9397-08002B2CF9AE}" pid="9" name="MSIP_Label_eb3112aa-d19c-4cb5-800f-a8704190099d_SiteId">
    <vt:lpwstr>11de2977-0a03-4820-960b-4b8eaac94794</vt:lpwstr>
  </property>
  <property fmtid="{D5CDD505-2E9C-101B-9397-08002B2CF9AE}" pid="10" name="MSIP_Label_eb3112aa-d19c-4cb5-800f-a8704190099d_ActionId">
    <vt:lpwstr>bc0f30b8-ef00-4cac-b9c6-fd44360f394a</vt:lpwstr>
  </property>
  <property fmtid="{D5CDD505-2E9C-101B-9397-08002B2CF9AE}" pid="11" name="MSIP_Label_eb3112aa-d19c-4cb5-800f-a8704190099d_ContentBits">
    <vt:lpwstr>2</vt:lpwstr>
  </property>
</Properties>
</file>